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D:\Du an Yen Binh\9. Khoi luong\KL hoan thien\"/>
    </mc:Choice>
  </mc:AlternateContent>
  <xr:revisionPtr revIDLastSave="0" documentId="13_ncr:1_{E69D5384-2A2A-4E6B-A608-B2415EAD64F5}" xr6:coauthVersionLast="36" xr6:coauthVersionMax="36" xr10:uidLastSave="{00000000-0000-0000-0000-000000000000}"/>
  <bookViews>
    <workbookView xWindow="0" yWindow="0" windowWidth="28800" windowHeight="12105" tabRatio="943" xr2:uid="{00000000-000D-0000-FFFF-FFFF00000000}"/>
  </bookViews>
  <sheets>
    <sheet name="THKL" sheetId="14" r:id="rId1"/>
    <sheet name="THKL Son ba" sheetId="13" state="hidden" r:id="rId2"/>
    <sheet name="Ba Acotec" sheetId="12" r:id="rId3"/>
    <sheet name="Ba tuong cot trong nha" sheetId="15" r:id="rId4"/>
    <sheet name="Ba logia" sheetId="16" r:id="rId5"/>
    <sheet name="Tran logia" sheetId="17" r:id="rId6"/>
    <sheet name="Son tuong khong ba" sheetId="18" r:id="rId7"/>
    <sheet name="Son Epoxy" sheetId="19" r:id="rId8"/>
    <sheet name="KL Tang mái" sheetId="6" r:id="rId9"/>
  </sheets>
  <externalReferences>
    <externalReference r:id="rId10"/>
  </externalReferences>
  <definedNames>
    <definedName name="_______________________a1" hidden="1">{"'Sheet1'!$L$16"}</definedName>
    <definedName name="__________________Goi8" hidden="1">{"'Sheet1'!$L$16"}</definedName>
    <definedName name="____________tt3" hidden="1">{"'Sheet1'!$L$16"}</definedName>
    <definedName name="___________m4" hidden="1">{"'Sheet1'!$L$16"}</definedName>
    <definedName name="___________tt3" hidden="1">{"'Sheet1'!$L$16"}</definedName>
    <definedName name="__________a129" hidden="1">{"Offgrid",#N/A,FALSE,"OFFGRID";"Region",#N/A,FALSE,"REGION";"Offgrid -2",#N/A,FALSE,"OFFGRID";"WTP",#N/A,FALSE,"WTP";"WTP -2",#N/A,FALSE,"WTP";"Project",#N/A,FALSE,"PROJECT";"Summary -2",#N/A,FALSE,"SUMMARY"}</definedName>
    <definedName name="__________a130" hidden="1">{"Offgrid",#N/A,FALSE,"OFFGRID";"Region",#N/A,FALSE,"REGION";"Offgrid -2",#N/A,FALSE,"OFFGRID";"WTP",#N/A,FALSE,"WTP";"WTP -2",#N/A,FALSE,"WTP";"Project",#N/A,FALSE,"PROJECT";"Summary -2",#N/A,FALSE,"SUMMARY"}</definedName>
    <definedName name="__________m4" hidden="1">{"'Sheet1'!$L$16"}</definedName>
    <definedName name="__________TM2" hidden="1">{"'Sheet1'!$L$16"}</definedName>
    <definedName name="__________tt3" hidden="1">{"'Sheet1'!$L$16"}</definedName>
    <definedName name="_________a129" hidden="1">{"Offgrid",#N/A,FALSE,"OFFGRID";"Region",#N/A,FALSE,"REGION";"Offgrid -2",#N/A,FALSE,"OFFGRID";"WTP",#N/A,FALSE,"WTP";"WTP -2",#N/A,FALSE,"WTP";"Project",#N/A,FALSE,"PROJECT";"Summary -2",#N/A,FALSE,"SUMMARY"}</definedName>
    <definedName name="_________a130" hidden="1">{"Offgrid",#N/A,FALSE,"OFFGRID";"Region",#N/A,FALSE,"REGION";"Offgrid -2",#N/A,FALSE,"OFFGRID";"WTP",#N/A,FALSE,"WTP";"WTP -2",#N/A,FALSE,"WTP";"Project",#N/A,FALSE,"PROJECT";"Summary -2",#N/A,FALSE,"SUMMARY"}</definedName>
    <definedName name="_________Lan1" hidden="1">{"'Sheet1'!$L$16"}</definedName>
    <definedName name="_________LAN3" hidden="1">{"'Sheet1'!$L$16"}</definedName>
    <definedName name="_________m4" hidden="1">{"'Sheet1'!$L$16"}</definedName>
    <definedName name="_________PA3" hidden="1">{"'Sheet1'!$L$16"}</definedName>
    <definedName name="_________TM2" hidden="1">{"'Sheet1'!$L$16"}</definedName>
    <definedName name="_________tt3" hidden="1">{"'Sheet1'!$L$16"}</definedName>
    <definedName name="________a129" hidden="1">{"Offgrid",#N/A,FALSE,"OFFGRID";"Region",#N/A,FALSE,"REGION";"Offgrid -2",#N/A,FALSE,"OFFGRID";"WTP",#N/A,FALSE,"WTP";"WTP -2",#N/A,FALSE,"WTP";"Project",#N/A,FALSE,"PROJECT";"Summary -2",#N/A,FALSE,"SUMMARY"}</definedName>
    <definedName name="________a130" hidden="1">{"Offgrid",#N/A,FALSE,"OFFGRID";"Region",#N/A,FALSE,"REGION";"Offgrid -2",#N/A,FALSE,"OFFGRID";"WTP",#N/A,FALSE,"WTP";"WTP -2",#N/A,FALSE,"WTP";"Project",#N/A,FALSE,"PROJECT";"Summary -2",#N/A,FALSE,"SUMMARY"}</definedName>
    <definedName name="________Lan1" hidden="1">{"'Sheet1'!$L$16"}</definedName>
    <definedName name="________LAN3" hidden="1">{"'Sheet1'!$L$16"}</definedName>
    <definedName name="________m4" hidden="1">{"'Sheet1'!$L$16"}</definedName>
    <definedName name="________PA3" hidden="1">{"'Sheet1'!$L$16"}</definedName>
    <definedName name="________TM2" hidden="1">{"'Sheet1'!$L$16"}</definedName>
    <definedName name="________tt3" hidden="1">{"'Sheet1'!$L$16"}</definedName>
    <definedName name="_______a129" hidden="1">{"Offgrid",#N/A,FALSE,"OFFGRID";"Region",#N/A,FALSE,"REGION";"Offgrid -2",#N/A,FALSE,"OFFGRID";"WTP",#N/A,FALSE,"WTP";"WTP -2",#N/A,FALSE,"WTP";"Project",#N/A,FALSE,"PROJECT";"Summary -2",#N/A,FALSE,"SUMMARY"}</definedName>
    <definedName name="_______a130" hidden="1">{"Offgrid",#N/A,FALSE,"OFFGRID";"Region",#N/A,FALSE,"REGION";"Offgrid -2",#N/A,FALSE,"OFFGRID";"WTP",#N/A,FALSE,"WTP";"WTP -2",#N/A,FALSE,"WTP";"Project",#N/A,FALSE,"PROJECT";"Summary -2",#N/A,FALSE,"SUMMARY"}</definedName>
    <definedName name="_______d1500" hidden="1">{"'Sheet1'!$L$16"}</definedName>
    <definedName name="_______FD12" hidden="1">{"'Sheet1'!$L$16"}</definedName>
    <definedName name="_______Lan1" hidden="1">{"'Sheet1'!$L$16"}</definedName>
    <definedName name="_______LAN3" hidden="1">{"'Sheet1'!$L$16"}</definedName>
    <definedName name="_______M2" hidden="1">{"'Sheet1'!$L$16"}</definedName>
    <definedName name="_______m4" hidden="1">{"'Sheet1'!$L$16"}</definedName>
    <definedName name="_______PA3" hidden="1">{"'Sheet1'!$L$16"}</definedName>
    <definedName name="_______T04" hidden="1">{#N/A,#N/A,FALSE,"CCTV"}</definedName>
    <definedName name="_______T2" hidden="1">{"'Sheet1'!$L$16"}</definedName>
    <definedName name="_______t4" hidden="1">{"'Sheet1'!$L$16"}</definedName>
    <definedName name="_______T5" hidden="1">{"'Sheet1'!$L$16"}</definedName>
    <definedName name="_______TM2" hidden="1">{"'Sheet1'!$L$16"}</definedName>
    <definedName name="_______tt3" hidden="1">{"'Sheet1'!$L$16"}</definedName>
    <definedName name="______a129" hidden="1">{"Offgrid",#N/A,FALSE,"OFFGRID";"Region",#N/A,FALSE,"REGION";"Offgrid -2",#N/A,FALSE,"OFFGRID";"WTP",#N/A,FALSE,"WTP";"WTP -2",#N/A,FALSE,"WTP";"Project",#N/A,FALSE,"PROJECT";"Summary -2",#N/A,FALSE,"SUMMARY"}</definedName>
    <definedName name="______a130" hidden="1">{"Offgrid",#N/A,FALSE,"OFFGRID";"Region",#N/A,FALSE,"REGION";"Offgrid -2",#N/A,FALSE,"OFFGRID";"WTP",#N/A,FALSE,"WTP";"WTP -2",#N/A,FALSE,"WTP";"Project",#N/A,FALSE,"PROJECT";"Summary -2",#N/A,FALSE,"SUMMARY"}</definedName>
    <definedName name="______d1500" hidden="1">{"'Sheet1'!$L$16"}</definedName>
    <definedName name="______FD12" hidden="1">{"'Sheet1'!$L$16"}</definedName>
    <definedName name="______Lan1" hidden="1">{"'Sheet1'!$L$16"}</definedName>
    <definedName name="______LAN3" hidden="1">{"'Sheet1'!$L$16"}</definedName>
    <definedName name="______M2" hidden="1">{"'Sheet1'!$L$16"}</definedName>
    <definedName name="______m4" hidden="1">{"'Sheet1'!$L$16"}</definedName>
    <definedName name="______NSO2" hidden="1">{"'Sheet1'!$L$16"}</definedName>
    <definedName name="______PA3" hidden="1">{"'Sheet1'!$L$16"}</definedName>
    <definedName name="______T04" hidden="1">{#N/A,#N/A,FALSE,"CCTV"}</definedName>
    <definedName name="______T2" hidden="1">{"'Sheet1'!$L$16"}</definedName>
    <definedName name="______t4" hidden="1">{"'Sheet1'!$L$16"}</definedName>
    <definedName name="______T5" hidden="1">{"'Sheet1'!$L$16"}</definedName>
    <definedName name="______TM2" hidden="1">{"'Sheet1'!$L$16"}</definedName>
    <definedName name="______tt3" hidden="1">{"'Sheet1'!$L$16"}</definedName>
    <definedName name="_____a1" hidden="1">{"'Sheet1'!$L$16"}</definedName>
    <definedName name="_____a129" hidden="1">{"Offgrid",#N/A,FALSE,"OFFGRID";"Region",#N/A,FALSE,"REGION";"Offgrid -2",#N/A,FALSE,"OFFGRID";"WTP",#N/A,FALSE,"WTP";"WTP -2",#N/A,FALSE,"WTP";"Project",#N/A,FALSE,"PROJECT";"Summary -2",#N/A,FALSE,"SUMMARY"}</definedName>
    <definedName name="_____a130" hidden="1">{"Offgrid",#N/A,FALSE,"OFFGRID";"Region",#N/A,FALSE,"REGION";"Offgrid -2",#N/A,FALSE,"OFFGRID";"WTP",#N/A,FALSE,"WTP";"WTP -2",#N/A,FALSE,"WTP";"Project",#N/A,FALSE,"PROJECT";"Summary -2",#N/A,FALSE,"SUMMARY"}</definedName>
    <definedName name="_____FD12" hidden="1">{"'Sheet1'!$L$16"}</definedName>
    <definedName name="_____Goi8" hidden="1">{"'Sheet1'!$L$16"}</definedName>
    <definedName name="_____Lan1" hidden="1">{"'Sheet1'!$L$16"}</definedName>
    <definedName name="_____LAN3" hidden="1">{"'Sheet1'!$L$16"}</definedName>
    <definedName name="_____M2" hidden="1">{"'Sheet1'!$L$16"}</definedName>
    <definedName name="_____m4" hidden="1">{"'Sheet1'!$L$16"}</definedName>
    <definedName name="_____PA3" hidden="1">{"'Sheet1'!$L$16"}</definedName>
    <definedName name="_____SCL4" hidden="1">{"'Sheet1'!$L$16"}</definedName>
    <definedName name="_____T04" hidden="1">{#N/A,#N/A,FALSE,"CCTV"}</definedName>
    <definedName name="_____T2" hidden="1">{"'Sheet1'!$L$16"}</definedName>
    <definedName name="_____t4" hidden="1">{"'Sheet1'!$L$16"}</definedName>
    <definedName name="_____T5" hidden="1">{"'Sheet1'!$L$16"}</definedName>
    <definedName name="_____TM2" hidden="1">{"'Sheet1'!$L$16"}</definedName>
    <definedName name="_____tt3" hidden="1">{"'Sheet1'!$L$16"}</definedName>
    <definedName name="____a1" hidden="1">{"'Sheet1'!$L$16"}</definedName>
    <definedName name="____a129" hidden="1">{"Offgrid",#N/A,FALSE,"OFFGRID";"Region",#N/A,FALSE,"REGION";"Offgrid -2",#N/A,FALSE,"OFFGRID";"WTP",#N/A,FALSE,"WTP";"WTP -2",#N/A,FALSE,"WTP";"Project",#N/A,FALSE,"PROJECT";"Summary -2",#N/A,FALSE,"SUMMARY"}</definedName>
    <definedName name="____a130" hidden="1">{"Offgrid",#N/A,FALSE,"OFFGRID";"Region",#N/A,FALSE,"REGION";"Offgrid -2",#N/A,FALSE,"OFFGRID";"WTP",#N/A,FALSE,"WTP";"WTP -2",#N/A,FALSE,"WTP";"Project",#N/A,FALSE,"PROJECT";"Summary -2",#N/A,FALSE,"SUMMARY"}</definedName>
    <definedName name="____a2" hidden="1">{"'Sheet1'!$L$16"}</definedName>
    <definedName name="____d1500" hidden="1">{"'Sheet1'!$L$16"}</definedName>
    <definedName name="____FD12" hidden="1">{"'Sheet1'!$L$16"}</definedName>
    <definedName name="____Goi8" hidden="1">{"'Sheet1'!$L$16"}</definedName>
    <definedName name="____huy1" hidden="1">{"'Sheet1'!$L$16"}</definedName>
    <definedName name="____huy2" hidden="1">{"'Sheet1'!$L$16"}</definedName>
    <definedName name="____lan1" hidden="1">{#N/A,#N/A,TRUE,"BT M200 da 10x20"}</definedName>
    <definedName name="____Lan2" hidden="1">{"'Sheet1'!$L$16"}</definedName>
    <definedName name="____LAN3" hidden="1">{"'Sheet1'!$L$16"}</definedName>
    <definedName name="____M2" hidden="1">{"'Sheet1'!$L$16"}</definedName>
    <definedName name="____m4" hidden="1">{"'Sheet1'!$L$16"}</definedName>
    <definedName name="____nso1" hidden="1">{"'Sheet1'!$L$16"}</definedName>
    <definedName name="____NSO2" hidden="1">{"'Sheet1'!$L$16"}</definedName>
    <definedName name="____PA3" hidden="1">{"'Sheet1'!$L$16"}</definedName>
    <definedName name="____SCL4" hidden="1">{"'Sheet1'!$L$16"}</definedName>
    <definedName name="____T04" hidden="1">{#N/A,#N/A,FALSE,"CCTV"}</definedName>
    <definedName name="____T2" hidden="1">{"'Sheet1'!$L$16"}</definedName>
    <definedName name="____T3" hidden="1">{"'Sheet1'!$L$16"}</definedName>
    <definedName name="____t4" hidden="1">{"'Sheet1'!$L$16"}</definedName>
    <definedName name="____T5" hidden="1">{"'Sheet1'!$L$16"}</definedName>
    <definedName name="____TM2" hidden="1">{"'Sheet1'!$L$16"}</definedName>
    <definedName name="____tt3" hidden="1">{"'Sheet1'!$L$16"}</definedName>
    <definedName name="____TT623" hidden="1">{"'Sheet1'!$L$16"}</definedName>
    <definedName name="____ttt1" hidden="1">{"'Sheet1'!$L$16"}</definedName>
    <definedName name="___a1" hidden="1">{"'Sheet1'!$L$16"}</definedName>
    <definedName name="___a129" hidden="1">{"Offgrid",#N/A,FALSE,"OFFGRID";"Region",#N/A,FALSE,"REGION";"Offgrid -2",#N/A,FALSE,"OFFGRID";"WTP",#N/A,FALSE,"WTP";"WTP -2",#N/A,FALSE,"WTP";"Project",#N/A,FALSE,"PROJECT";"Summary -2",#N/A,FALSE,"SUMMARY"}</definedName>
    <definedName name="___a130" hidden="1">{"Offgrid",#N/A,FALSE,"OFFGRID";"Region",#N/A,FALSE,"REGION";"Offgrid -2",#N/A,FALSE,"OFFGRID";"WTP",#N/A,FALSE,"WTP";"WTP -2",#N/A,FALSE,"WTP";"Project",#N/A,FALSE,"PROJECT";"Summary -2",#N/A,FALSE,"SUMMARY"}</definedName>
    <definedName name="___a2" hidden="1">{"'Sheet1'!$L$16"}</definedName>
    <definedName name="___da2" hidden="1">{"'Sheet1'!$L$16"}</definedName>
    <definedName name="___FD12" hidden="1">{"'Sheet1'!$L$16"}</definedName>
    <definedName name="___Goi8" hidden="1">{"'Sheet1'!$L$16"}</definedName>
    <definedName name="___huy1" hidden="1">{"'Sheet1'!$L$16"}</definedName>
    <definedName name="___huy2" hidden="1">{"'Sheet1'!$L$16"}</definedName>
    <definedName name="___lan1" hidden="1">{#N/A,#N/A,TRUE,"BT M200 da 10x20"}</definedName>
    <definedName name="___Lan2" hidden="1">{"'Sheet1'!$L$16"}</definedName>
    <definedName name="___LAN3" hidden="1">{"'Sheet1'!$L$16"}</definedName>
    <definedName name="___M2" hidden="1">{"'Sheet1'!$L$16"}</definedName>
    <definedName name="___m4" hidden="1">{"'Sheet1'!$L$16"}</definedName>
    <definedName name="___nso1" hidden="1">{"'Sheet1'!$L$16"}</definedName>
    <definedName name="___PA3" hidden="1">{"'Sheet1'!$L$16"}</definedName>
    <definedName name="___SCL4" hidden="1">{"'Sheet1'!$L$16"}</definedName>
    <definedName name="___T04" hidden="1">{#N/A,#N/A,FALSE,"CCTV"}</definedName>
    <definedName name="___T2" hidden="1">{"'Sheet1'!$L$16"}</definedName>
    <definedName name="___T3" hidden="1">{"'Sheet1'!$L$16"}</definedName>
    <definedName name="___t4" hidden="1">{"'Sheet1'!$L$16"}</definedName>
    <definedName name="___T5" hidden="1">{"'Sheet1'!$L$16"}</definedName>
    <definedName name="___TM2" hidden="1">{"'Sheet1'!$L$16"}</definedName>
    <definedName name="___tt3" hidden="1">{"'Sheet1'!$L$16"}</definedName>
    <definedName name="___TT623" hidden="1">{"'Sheet1'!$L$16"}</definedName>
    <definedName name="___ttt1" hidden="1">{"'Sheet1'!$L$16"}</definedName>
    <definedName name="__123Graph_D" localSheetId="4" hidden="1">#REF!</definedName>
    <definedName name="__123Graph_D" localSheetId="3" hidden="1">#REF!</definedName>
    <definedName name="__123Graph_D" localSheetId="7" hidden="1">#REF!</definedName>
    <definedName name="__123Graph_D" localSheetId="6" hidden="1">#REF!</definedName>
    <definedName name="__123Graph_D" localSheetId="5" hidden="1">#REF!</definedName>
    <definedName name="__123Graph_D" hidden="1">#REF!</definedName>
    <definedName name="__a1" hidden="1">{"'Sheet1'!$L$16"}</definedName>
    <definedName name="__a129" hidden="1">{"Offgrid",#N/A,FALSE,"OFFGRID";"Region",#N/A,FALSE,"REGION";"Offgrid -2",#N/A,FALSE,"OFFGRID";"WTP",#N/A,FALSE,"WTP";"WTP -2",#N/A,FALSE,"WTP";"Project",#N/A,FALSE,"PROJECT";"Summary -2",#N/A,FALSE,"SUMMARY"}</definedName>
    <definedName name="__a130" hidden="1">{"Offgrid",#N/A,FALSE,"OFFGRID";"Region",#N/A,FALSE,"REGION";"Offgrid -2",#N/A,FALSE,"OFFGRID";"WTP",#N/A,FALSE,"WTP";"WTP -2",#N/A,FALSE,"WTP";"Project",#N/A,FALSE,"PROJECT";"Summary -2",#N/A,FALSE,"SUMMARY"}</definedName>
    <definedName name="__a2" hidden="1">{"'Sheet1'!$L$16"}</definedName>
    <definedName name="__d1500" hidden="1">{"'Sheet1'!$L$16"}</definedName>
    <definedName name="__da2" hidden="1">{"'Sheet1'!$L$16"}</definedName>
    <definedName name="__FD12" hidden="1">{"'Sheet1'!$L$16"}</definedName>
    <definedName name="__Goi8" hidden="1">{"'Sheet1'!$L$16"}</definedName>
    <definedName name="__huy1" hidden="1">{"'Sheet1'!$L$16"}</definedName>
    <definedName name="__huy2" hidden="1">{"'Sheet1'!$L$16"}</definedName>
    <definedName name="__IntlFixup" hidden="1">TRUE</definedName>
    <definedName name="__lan1" hidden="1">{#N/A,#N/A,TRUE,"BT M200 da 10x20"}</definedName>
    <definedName name="__Lan2" hidden="1">{"'Sheet1'!$L$16"}</definedName>
    <definedName name="__LAN3" hidden="1">{"'Sheet1'!$L$16"}</definedName>
    <definedName name="__M2" hidden="1">{"'Sheet1'!$L$16"}</definedName>
    <definedName name="__m4" hidden="1">{"'Sheet1'!$L$16"}</definedName>
    <definedName name="__nso1" hidden="1">{"'Sheet1'!$L$16"}</definedName>
    <definedName name="__NSO2" hidden="1">{"'Sheet1'!$L$16"}</definedName>
    <definedName name="__SCL4" hidden="1">{"'Sheet1'!$L$16"}</definedName>
    <definedName name="__ss1" hidden="1">{0}</definedName>
    <definedName name="__ss3" hidden="1">{0,0,0,0;0,0,0,0;0,0,0,0;0,0,0,0;0,0,0,#VALUE!;FALSE,0,0,0;0,0,0,0}</definedName>
    <definedName name="__ss4" hidden="1">{0,0,0,0;0,0,0,0;0,0,0,0;0,0,0,0;0,0,0,0;0,0,0,0;0,0,0,0}</definedName>
    <definedName name="__T04" hidden="1">{#N/A,#N/A,FALSE,"CCTV"}</definedName>
    <definedName name="__T2" hidden="1">{"'Sheet1'!$L$16"}</definedName>
    <definedName name="__T3" hidden="1">{"'Sheet1'!$L$16"}</definedName>
    <definedName name="__t4" hidden="1">{"'Sheet1'!$L$16"}</definedName>
    <definedName name="__T5" hidden="1">{"'Sheet1'!$L$16"}</definedName>
    <definedName name="__TM2" hidden="1">{"'Sheet1'!$L$16"}</definedName>
    <definedName name="__tt3" hidden="1">{"'Sheet1'!$L$16"}</definedName>
    <definedName name="__TT623" hidden="1">{"'Sheet1'!$L$16"}</definedName>
    <definedName name="__ttt1" hidden="1">{"'Sheet1'!$L$16"}</definedName>
    <definedName name="_12__123Graph_Xｸﾞﾗﾌ_1" localSheetId="4" hidden="1">#REF!</definedName>
    <definedName name="_12__123Graph_Xｸﾞﾗﾌ_1" localSheetId="3" hidden="1">#REF!</definedName>
    <definedName name="_12__123Graph_Xｸﾞﾗﾌ_1" localSheetId="7" hidden="1">#REF!</definedName>
    <definedName name="_12__123Graph_Xｸﾞﾗﾌ_1" localSheetId="6" hidden="1">#REF!</definedName>
    <definedName name="_12__123Graph_Xｸﾞﾗﾌ_1" localSheetId="5" hidden="1">#REF!</definedName>
    <definedName name="_12__123Graph_Xｸﾞﾗﾌ_1" hidden="1">#REF!</definedName>
    <definedName name="_13__123Graph_Xｸﾞﾗﾌ_2" localSheetId="4" hidden="1">#REF!</definedName>
    <definedName name="_13__123Graph_Xｸﾞﾗﾌ_2" localSheetId="3" hidden="1">#REF!</definedName>
    <definedName name="_13__123Graph_Xｸﾞﾗﾌ_2" localSheetId="7" hidden="1">#REF!</definedName>
    <definedName name="_13__123Graph_Xｸﾞﾗﾌ_2" localSheetId="6" hidden="1">#REF!</definedName>
    <definedName name="_13__123Graph_Xｸﾞﾗﾌ_2" localSheetId="5" hidden="1">#REF!</definedName>
    <definedName name="_13__123Graph_Xｸﾞﾗﾌ_2" hidden="1">#REF!</definedName>
    <definedName name="_14__123Graph_Xｸﾞﾗﾌ_3" localSheetId="4" hidden="1">#REF!</definedName>
    <definedName name="_14__123Graph_Xｸﾞﾗﾌ_3" localSheetId="3" hidden="1">#REF!</definedName>
    <definedName name="_14__123Graph_Xｸﾞﾗﾌ_3" localSheetId="7" hidden="1">#REF!</definedName>
    <definedName name="_14__123Graph_Xｸﾞﾗﾌ_3" localSheetId="6" hidden="1">#REF!</definedName>
    <definedName name="_14__123Graph_Xｸﾞﾗﾌ_3" localSheetId="5" hidden="1">#REF!</definedName>
    <definedName name="_14__123Graph_Xｸﾞﾗﾌ_3" hidden="1">#REF!</definedName>
    <definedName name="_15__123Graph_Xｸﾞﾗﾌ_4" localSheetId="4" hidden="1">#REF!</definedName>
    <definedName name="_15__123Graph_Xｸﾞﾗﾌ_4" localSheetId="3" hidden="1">#REF!</definedName>
    <definedName name="_15__123Graph_Xｸﾞﾗﾌ_4" localSheetId="7" hidden="1">#REF!</definedName>
    <definedName name="_15__123Graph_Xｸﾞﾗﾌ_4" localSheetId="6" hidden="1">#REF!</definedName>
    <definedName name="_15__123Graph_Xｸﾞﾗﾌ_4" localSheetId="5" hidden="1">#REF!</definedName>
    <definedName name="_15__123Graph_Xｸﾞﾗﾌ_4" hidden="1">#REF!</definedName>
    <definedName name="_16__123Graph_Xｸﾞﾗﾌ_5" localSheetId="4" hidden="1">#REF!</definedName>
    <definedName name="_16__123Graph_Xｸﾞﾗﾌ_5" localSheetId="3" hidden="1">#REF!</definedName>
    <definedName name="_16__123Graph_Xｸﾞﾗﾌ_5" localSheetId="7" hidden="1">#REF!</definedName>
    <definedName name="_16__123Graph_Xｸﾞﾗﾌ_5" localSheetId="6" hidden="1">#REF!</definedName>
    <definedName name="_16__123Graph_Xｸﾞﾗﾌ_5" localSheetId="5" hidden="1">#REF!</definedName>
    <definedName name="_16__123Graph_Xｸﾞﾗﾌ_5" hidden="1">#REF!</definedName>
    <definedName name="_21P3_" hidden="1">{#N/A,#N/A,FALSE,"特殊室（ＢＱ表）"}</definedName>
    <definedName name="_4__123Graph_Aｸﾞﾗﾌ_1" localSheetId="4" hidden="1">#REF!</definedName>
    <definedName name="_4__123Graph_Aｸﾞﾗﾌ_1" localSheetId="3" hidden="1">#REF!</definedName>
    <definedName name="_4__123Graph_Aｸﾞﾗﾌ_1" localSheetId="7" hidden="1">#REF!</definedName>
    <definedName name="_4__123Graph_Aｸﾞﾗﾌ_1" localSheetId="6" hidden="1">#REF!</definedName>
    <definedName name="_4__123Graph_Aｸﾞﾗﾌ_1" localSheetId="5" hidden="1">#REF!</definedName>
    <definedName name="_4__123Graph_Aｸﾞﾗﾌ_1" hidden="1">#REF!</definedName>
    <definedName name="_5__123Graph_Aｸﾞﾗﾌ_2" localSheetId="4" hidden="1">#REF!</definedName>
    <definedName name="_5__123Graph_Aｸﾞﾗﾌ_2" localSheetId="3" hidden="1">#REF!</definedName>
    <definedName name="_5__123Graph_Aｸﾞﾗﾌ_2" localSheetId="7" hidden="1">#REF!</definedName>
    <definedName name="_5__123Graph_Aｸﾞﾗﾌ_2" localSheetId="6" hidden="1">#REF!</definedName>
    <definedName name="_5__123Graph_Aｸﾞﾗﾌ_2" localSheetId="5" hidden="1">#REF!</definedName>
    <definedName name="_5__123Graph_Aｸﾞﾗﾌ_2" hidden="1">#REF!</definedName>
    <definedName name="_6__123Graph_Aｸﾞﾗﾌ_3" localSheetId="4" hidden="1">#REF!</definedName>
    <definedName name="_6__123Graph_Aｸﾞﾗﾌ_3" localSheetId="3" hidden="1">#REF!</definedName>
    <definedName name="_6__123Graph_Aｸﾞﾗﾌ_3" localSheetId="7" hidden="1">#REF!</definedName>
    <definedName name="_6__123Graph_Aｸﾞﾗﾌ_3" localSheetId="6" hidden="1">#REF!</definedName>
    <definedName name="_6__123Graph_Aｸﾞﾗﾌ_3" localSheetId="5" hidden="1">#REF!</definedName>
    <definedName name="_6__123Graph_Aｸﾞﾗﾌ_3" hidden="1">#REF!</definedName>
    <definedName name="_7__123Graph_Aｸﾞﾗﾌ_4" localSheetId="4" hidden="1">#REF!</definedName>
    <definedName name="_7__123Graph_Aｸﾞﾗﾌ_4" localSheetId="3" hidden="1">#REF!</definedName>
    <definedName name="_7__123Graph_Aｸﾞﾗﾌ_4" localSheetId="7" hidden="1">#REF!</definedName>
    <definedName name="_7__123Graph_Aｸﾞﾗﾌ_4" localSheetId="6" hidden="1">#REF!</definedName>
    <definedName name="_7__123Graph_Aｸﾞﾗﾌ_4" localSheetId="5" hidden="1">#REF!</definedName>
    <definedName name="_7__123Graph_Aｸﾞﾗﾌ_4" hidden="1">#REF!</definedName>
    <definedName name="_8__123Graph_Aｸﾞﾗﾌ_5" localSheetId="4" hidden="1">#REF!</definedName>
    <definedName name="_8__123Graph_Aｸﾞﾗﾌ_5" localSheetId="3" hidden="1">#REF!</definedName>
    <definedName name="_8__123Graph_Aｸﾞﾗﾌ_5" localSheetId="7" hidden="1">#REF!</definedName>
    <definedName name="_8__123Graph_Aｸﾞﾗﾌ_5" localSheetId="6" hidden="1">#REF!</definedName>
    <definedName name="_8__123Graph_Aｸﾞﾗﾌ_5" localSheetId="5" hidden="1">#REF!</definedName>
    <definedName name="_8__123Graph_Aｸﾞﾗﾌ_5" hidden="1">#REF!</definedName>
    <definedName name="_a1" hidden="1">{"'Sheet1'!$L$16"}</definedName>
    <definedName name="_a129" hidden="1">{"Offgrid",#N/A,FALSE,"OFFGRID";"Region",#N/A,FALSE,"REGION";"Offgrid -2",#N/A,FALSE,"OFFGRID";"WTP",#N/A,FALSE,"WTP";"WTP -2",#N/A,FALSE,"WTP";"Project",#N/A,FALSE,"PROJECT";"Summary -2",#N/A,FALSE,"SUMMARY"}</definedName>
    <definedName name="_a130" hidden="1">{"Offgrid",#N/A,FALSE,"OFFGRID";"Region",#N/A,FALSE,"REGION";"Offgrid -2",#N/A,FALSE,"OFFGRID";"WTP",#N/A,FALSE,"WTP";"WTP -2",#N/A,FALSE,"WTP";"Project",#N/A,FALSE,"PROJECT";"Summary -2",#N/A,FALSE,"SUMMARY"}</definedName>
    <definedName name="_Builtin155" hidden="1">#N/A</definedName>
    <definedName name="_da2" hidden="1">{"'Sheet1'!$L$16"}</definedName>
    <definedName name="_Dist_Bin" localSheetId="4" hidden="1">#REF!</definedName>
    <definedName name="_Dist_Bin" localSheetId="3" hidden="1">#REF!</definedName>
    <definedName name="_Dist_Bin" localSheetId="7" hidden="1">#REF!</definedName>
    <definedName name="_Dist_Bin" localSheetId="6" hidden="1">#REF!</definedName>
    <definedName name="_Dist_Bin" localSheetId="5" hidden="1">#REF!</definedName>
    <definedName name="_Dist_Bin" hidden="1">#REF!</definedName>
    <definedName name="_Dist_Values" localSheetId="4" hidden="1">#REF!</definedName>
    <definedName name="_Dist_Values" localSheetId="3" hidden="1">#REF!</definedName>
    <definedName name="_Dist_Values" localSheetId="7" hidden="1">#REF!</definedName>
    <definedName name="_Dist_Values" localSheetId="6" hidden="1">#REF!</definedName>
    <definedName name="_Dist_Values" localSheetId="5" hidden="1">#REF!</definedName>
    <definedName name="_Dist_Values" hidden="1">#REF!</definedName>
    <definedName name="_FD12" hidden="1">{"'Sheet1'!$L$16"}</definedName>
    <definedName name="_Fill" localSheetId="4" hidden="1">#REF!</definedName>
    <definedName name="_Fill" localSheetId="3" hidden="1">#REF!</definedName>
    <definedName name="_Fill" localSheetId="7" hidden="1">#REF!</definedName>
    <definedName name="_Fill" localSheetId="6" hidden="1">#REF!</definedName>
    <definedName name="_Fill" localSheetId="5" hidden="1">#REF!</definedName>
    <definedName name="_Fill" hidden="1">#REF!</definedName>
    <definedName name="_xlnm._FilterDatabase" localSheetId="2" hidden="1">'Ba Acotec'!$A$5:$K$411</definedName>
    <definedName name="_xlnm._FilterDatabase" localSheetId="4" hidden="1">'Ba logia'!$A$5:$K$75</definedName>
    <definedName name="_xlnm._FilterDatabase" localSheetId="3" hidden="1">'Ba tuong cot trong nha'!$A$5:$K$297</definedName>
    <definedName name="_xlnm._FilterDatabase" localSheetId="8" hidden="1">'KL Tang mái'!$A$5:$K$132</definedName>
    <definedName name="_xlnm._FilterDatabase" localSheetId="7" hidden="1">'Son Epoxy'!$A$5:$K$13</definedName>
    <definedName name="_xlnm._FilterDatabase" localSheetId="6" hidden="1">'Son tuong khong ba'!$A$5:$K$100</definedName>
    <definedName name="_xlnm._FilterDatabase" localSheetId="5" hidden="1">'Tran logia'!$A$5:$K$33</definedName>
    <definedName name="_xlnm._FilterDatabase" hidden="1">#REF!</definedName>
    <definedName name="_Goi8" hidden="1">{"'Sheet1'!$L$16"}</definedName>
    <definedName name="_Key1" localSheetId="4" hidden="1">#REF!</definedName>
    <definedName name="_Key1" localSheetId="3" hidden="1">#REF!</definedName>
    <definedName name="_Key1" localSheetId="7" hidden="1">#REF!</definedName>
    <definedName name="_Key1" localSheetId="6" hidden="1">#REF!</definedName>
    <definedName name="_Key1" localSheetId="5" hidden="1">#REF!</definedName>
    <definedName name="_Key1" hidden="1">#REF!</definedName>
    <definedName name="_Key2" localSheetId="4" hidden="1">#REF!</definedName>
    <definedName name="_Key2" localSheetId="3" hidden="1">#REF!</definedName>
    <definedName name="_Key2" localSheetId="7" hidden="1">#REF!</definedName>
    <definedName name="_Key2" localSheetId="6" hidden="1">#REF!</definedName>
    <definedName name="_Key2" localSheetId="5" hidden="1">#REF!</definedName>
    <definedName name="_Key2" hidden="1">#REF!</definedName>
    <definedName name="_Lan2" hidden="1">{"'Sheet1'!$L$16"}</definedName>
    <definedName name="_LAN3" hidden="1">{"'Sheet1'!$L$16"}</definedName>
    <definedName name="_M2" hidden="1">{"'Sheet1'!$L$16"}</definedName>
    <definedName name="_NO2" localSheetId="4" hidden="1">#REF!</definedName>
    <definedName name="_NO2" localSheetId="3" hidden="1">#REF!</definedName>
    <definedName name="_NO2" localSheetId="7" hidden="1">#REF!</definedName>
    <definedName name="_NO2" localSheetId="6" hidden="1">#REF!</definedName>
    <definedName name="_NO2" localSheetId="5" hidden="1">#REF!</definedName>
    <definedName name="_NO2" hidden="1">#REF!</definedName>
    <definedName name="_nso1" hidden="1">{"'Sheet1'!$L$16"}</definedName>
    <definedName name="_NSO2" hidden="1">{"'Sheet1'!$L$16"}</definedName>
    <definedName name="_Order1" hidden="1">255</definedName>
    <definedName name="_Order2" hidden="1">255</definedName>
    <definedName name="_PA3" hidden="1">{"'Sheet1'!$L$16"}</definedName>
    <definedName name="_Parse_Out" localSheetId="4" hidden="1">#REF!</definedName>
    <definedName name="_Parse_Out" localSheetId="3" hidden="1">#REF!</definedName>
    <definedName name="_Parse_Out" localSheetId="7" hidden="1">#REF!</definedName>
    <definedName name="_Parse_Out" localSheetId="6" hidden="1">#REF!</definedName>
    <definedName name="_Parse_Out" localSheetId="5" hidden="1">#REF!</definedName>
    <definedName name="_Parse_Out" hidden="1">#REF!</definedName>
    <definedName name="_PPP3" hidden="1">{#N/A,#N/A,FALSE,"特殊室（ＢＱ表）"}</definedName>
    <definedName name="_PPP33" hidden="1">{#N/A,#N/A,FALSE,"特殊室（ＢＱ表）"}</definedName>
    <definedName name="_ppp34" hidden="1">{#N/A,#N/A,FALSE,"特殊室（ＢＱ表）"}</definedName>
    <definedName name="_ppp3444" hidden="1">{#N/A,#N/A,FALSE,"特殊室（ＢＱ表）"}</definedName>
    <definedName name="_Regression_Int" hidden="1">1</definedName>
    <definedName name="_REV1" hidden="1">{#N/A,#N/A,TRUE,"Str.";#N/A,#N/A,TRUE,"Steel &amp; Roof";#N/A,#N/A,TRUE,"Arc.";#N/A,#N/A,TRUE,"Preliminary";#N/A,#N/A,TRUE,"Sum_Prelim"}</definedName>
    <definedName name="_SCL4" hidden="1">{"'Sheet1'!$L$16"}</definedName>
    <definedName name="_Sort" localSheetId="4" hidden="1">#REF!</definedName>
    <definedName name="_Sort" localSheetId="3" hidden="1">#REF!</definedName>
    <definedName name="_Sort" localSheetId="7" hidden="1">#REF!</definedName>
    <definedName name="_Sort" localSheetId="6" hidden="1">#REF!</definedName>
    <definedName name="_Sort" localSheetId="5" hidden="1">#REF!</definedName>
    <definedName name="_Sort" hidden="1">#REF!</definedName>
    <definedName name="_Sortmoi" localSheetId="4" hidden="1">#REF!</definedName>
    <definedName name="_Sortmoi" localSheetId="3" hidden="1">#REF!</definedName>
    <definedName name="_Sortmoi" localSheetId="7" hidden="1">#REF!</definedName>
    <definedName name="_Sortmoi" localSheetId="6" hidden="1">#REF!</definedName>
    <definedName name="_Sortmoi" localSheetId="5" hidden="1">#REF!</definedName>
    <definedName name="_Sortmoi" hidden="1">#REF!</definedName>
    <definedName name="_ss1" hidden="1">{0}</definedName>
    <definedName name="_ss3" hidden="1">{0,0,0,0;0,0,0,0;0,0,0,0;0,0,0,0;0,0,0,#VALUE!;FALSE,0,0,0;0,0,0,0}</definedName>
    <definedName name="_ss4" hidden="1">{0,0,0,0;0,0,0,0;0,0,0,0;0,0,0,0;0,0,0,0;0,0,0,0;0,0,0,0}</definedName>
    <definedName name="_T04" hidden="1">{#N/A,#N/A,FALSE,"CCTV"}</definedName>
    <definedName name="_T3" hidden="1">{"'Sheet1'!$L$16"}</definedName>
    <definedName name="_t4" hidden="1">{"'Sheet1'!$L$16"}</definedName>
    <definedName name="_T5" hidden="1">{"'Sheet1'!$L$16"}</definedName>
    <definedName name="_Table1_In1" localSheetId="4" hidden="1">#REF!</definedName>
    <definedName name="_Table1_In1" localSheetId="3" hidden="1">#REF!</definedName>
    <definedName name="_Table1_In1" localSheetId="7" hidden="1">#REF!</definedName>
    <definedName name="_Table1_In1" localSheetId="6" hidden="1">#REF!</definedName>
    <definedName name="_Table1_In1" localSheetId="5" hidden="1">#REF!</definedName>
    <definedName name="_Table1_In1" hidden="1">#REF!</definedName>
    <definedName name="_Table1_Out" localSheetId="4" hidden="1">#REF!</definedName>
    <definedName name="_Table1_Out" localSheetId="3" hidden="1">#REF!</definedName>
    <definedName name="_Table1_Out" localSheetId="7" hidden="1">#REF!</definedName>
    <definedName name="_Table1_Out" localSheetId="6" hidden="1">#REF!</definedName>
    <definedName name="_Table1_Out" localSheetId="5" hidden="1">#REF!</definedName>
    <definedName name="_Table1_Out" hidden="1">#REF!</definedName>
    <definedName name="_TM2" hidden="1">{"'Sheet1'!$L$16"}</definedName>
    <definedName name="_TT623" hidden="1">{"'Sheet1'!$L$16"}</definedName>
    <definedName name="_ttt1" hidden="1">{"'Sheet1'!$L$16"}</definedName>
    <definedName name="a129_xoa" hidden="1">{"Offgrid",#N/A,FALSE,"OFFGRID";"Region",#N/A,FALSE,"REGION";"Offgrid -2",#N/A,FALSE,"OFFGRID";"WTP",#N/A,FALSE,"WTP";"WTP -2",#N/A,FALSE,"WTP";"Project",#N/A,FALSE,"PROJECT";"Summary -2",#N/A,FALSE,"SUMMARY"}</definedName>
    <definedName name="a130_xoa" hidden="1">{"Offgrid",#N/A,FALSE,"OFFGRID";"Region",#N/A,FALSE,"REGION";"Offgrid -2",#N/A,FALSE,"OFFGRID";"WTP",#N/A,FALSE,"WTP";"WTP -2",#N/A,FALSE,"WTP";"Project",#N/A,FALSE,"PROJECT";"Summary -2",#N/A,FALSE,"SUMMARY"}</definedName>
    <definedName name="a1moi" hidden="1">{"'Sheet1'!$L$16"}</definedName>
    <definedName name="AccessDatabase" hidden="1">"C:\My Documents\LeBinh\Xls\VP Cong ty\FORM.mdb"</definedName>
    <definedName name="adđ" hidden="1">{"'Sheet1'!$L$16"}</definedName>
    <definedName name="afaf" hidden="1">{#N/A,#N/A,FALSE,"Chi tiÆt"}</definedName>
    <definedName name="afff" hidden="1">{"'Sheet1'!$L$16"}</definedName>
    <definedName name="ahah" hidden="1">{"'Sheet1'!$L$16"}</definedName>
    <definedName name="ahajdks" hidden="1">{"'Sheet1'!$L$16"}</definedName>
    <definedName name="anscount" hidden="1">1</definedName>
    <definedName name="anh" localSheetId="4" hidden="1">#REF!</definedName>
    <definedName name="anh" localSheetId="3" hidden="1">#REF!</definedName>
    <definedName name="anh" localSheetId="7" hidden="1">#REF!</definedName>
    <definedName name="anh" localSheetId="6" hidden="1">#REF!</definedName>
    <definedName name="anh" localSheetId="5" hidden="1">#REF!</definedName>
    <definedName name="anh" hidden="1">#REF!</definedName>
    <definedName name="atdakdh" localSheetId="4" hidden="1">#REF!</definedName>
    <definedName name="atdakdh" localSheetId="3" hidden="1">#REF!</definedName>
    <definedName name="atdakdh" localSheetId="7" hidden="1">#REF!</definedName>
    <definedName name="atdakdh" localSheetId="6" hidden="1">#REF!</definedName>
    <definedName name="atdakdh" localSheetId="5" hidden="1">#REF!</definedName>
    <definedName name="atdakdh" hidden="1">#REF!</definedName>
    <definedName name="ATGT" hidden="1">{"'Sheet1'!$L$16"}</definedName>
    <definedName name="atien1" hidden="1">{"'Sheet1'!$L$16"}</definedName>
    <definedName name="awegw" hidden="1">{#N/A,#N/A,TRUE,"BT M200 da 10x20"}</definedName>
    <definedName name="b" localSheetId="4" hidden="1">#REF!</definedName>
    <definedName name="b" localSheetId="3" hidden="1">#REF!</definedName>
    <definedName name="b" localSheetId="7" hidden="1">#REF!</definedName>
    <definedName name="b" localSheetId="6" hidden="1">#REF!</definedName>
    <definedName name="b" localSheetId="5" hidden="1">#REF!</definedName>
    <definedName name="b" hidden="1">#REF!</definedName>
    <definedName name="bcb" hidden="1">{"'Sheet1'!$L$16"}</definedName>
    <definedName name="bemai" hidden="1">{"'Sheet1'!$L$16"}</definedName>
    <definedName name="binh" hidden="1">{"'Sheet1'!$L$16"}</definedName>
    <definedName name="BOQCongtruong" localSheetId="4" hidden="1">#REF!</definedName>
    <definedName name="BOQCongtruong" localSheetId="3" hidden="1">#REF!</definedName>
    <definedName name="BOQCongtruong" localSheetId="7" hidden="1">#REF!</definedName>
    <definedName name="BOQCongtruong" localSheetId="6" hidden="1">#REF!</definedName>
    <definedName name="BOQCongtruong" localSheetId="5" hidden="1">#REF!</definedName>
    <definedName name="BOQCongtruong" hidden="1">#REF!</definedName>
    <definedName name="bt_nam" localSheetId="4" hidden="1">#REF!</definedName>
    <definedName name="bt_nam" localSheetId="3" hidden="1">#REF!</definedName>
    <definedName name="bt_nam" localSheetId="7" hidden="1">#REF!</definedName>
    <definedName name="bt_nam" localSheetId="6" hidden="1">#REF!</definedName>
    <definedName name="bt_nam" localSheetId="5" hidden="1">#REF!</definedName>
    <definedName name="bt_nam" hidden="1">#REF!</definedName>
    <definedName name="btdc2" localSheetId="4" hidden="1">#REF!</definedName>
    <definedName name="btdc2" localSheetId="3" hidden="1">#REF!</definedName>
    <definedName name="btdc2" localSheetId="7" hidden="1">#REF!</definedName>
    <definedName name="btdc2" localSheetId="6" hidden="1">#REF!</definedName>
    <definedName name="btdc2" localSheetId="5" hidden="1">#REF!</definedName>
    <definedName name="btdc2" hidden="1">#REF!</definedName>
    <definedName name="ca" hidden="1">{"'Sheet1'!$L$16"}</definedName>
    <definedName name="CANON" hidden="1">{"'Sheet1'!$L$16"}</definedName>
    <definedName name="cg" hidden="1">{"'Sheet1'!$L$16"}</definedName>
    <definedName name="Code" localSheetId="4" hidden="1">#REF!</definedName>
    <definedName name="Code" localSheetId="3" hidden="1">#REF!</definedName>
    <definedName name="Code" localSheetId="7" hidden="1">#REF!</definedName>
    <definedName name="Code" localSheetId="6" hidden="1">#REF!</definedName>
    <definedName name="Code" localSheetId="5" hidden="1">#REF!</definedName>
    <definedName name="Code" hidden="1">#REF!</definedName>
    <definedName name="Column" localSheetId="4" hidden="1">#REF!</definedName>
    <definedName name="Column" localSheetId="3" hidden="1">#REF!</definedName>
    <definedName name="Column" localSheetId="7" hidden="1">#REF!</definedName>
    <definedName name="Column" localSheetId="6" hidden="1">#REF!</definedName>
    <definedName name="Column" localSheetId="5" hidden="1">#REF!</definedName>
    <definedName name="Column" hidden="1">#REF!</definedName>
    <definedName name="CP" localSheetId="4" hidden="1">#REF!</definedName>
    <definedName name="CP" localSheetId="3" hidden="1">#REF!</definedName>
    <definedName name="CP" localSheetId="7" hidden="1">#REF!</definedName>
    <definedName name="CP" localSheetId="6" hidden="1">#REF!</definedName>
    <definedName name="CP" localSheetId="5" hidden="1">#REF!</definedName>
    <definedName name="CP" hidden="1">#REF!</definedName>
    <definedName name="ctbbt" hidden="1">{"'Sheet1'!$L$16"}</definedName>
    <definedName name="CTCT1" hidden="1">{"'Sheet1'!$L$16"}</definedName>
    <definedName name="Chart3" hidden="1">{"'Sheet1'!$L$16"}</definedName>
    <definedName name="CHO"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CHO.J"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CHOJ"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CHOJU"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chosd"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Ð" hidden="1">{"'Sheet1'!$L$16"}</definedName>
    <definedName name="dafas" hidden="1">{#N/A,#N/A,TRUE,"BT M200 da 10x20"}</definedName>
    <definedName name="data1" localSheetId="4" hidden="1">#REF!</definedName>
    <definedName name="data1" localSheetId="3" hidden="1">#REF!</definedName>
    <definedName name="data1" localSheetId="7" hidden="1">#REF!</definedName>
    <definedName name="data1" localSheetId="6" hidden="1">#REF!</definedName>
    <definedName name="data1" localSheetId="5" hidden="1">#REF!</definedName>
    <definedName name="data1" hidden="1">#REF!</definedName>
    <definedName name="data2" localSheetId="4" hidden="1">#REF!</definedName>
    <definedName name="data2" localSheetId="3" hidden="1">#REF!</definedName>
    <definedName name="data2" localSheetId="7" hidden="1">#REF!</definedName>
    <definedName name="data2" localSheetId="6" hidden="1">#REF!</definedName>
    <definedName name="data2" localSheetId="5" hidden="1">#REF!</definedName>
    <definedName name="data2" hidden="1">#REF!</definedName>
    <definedName name="data3" localSheetId="4" hidden="1">#REF!</definedName>
    <definedName name="data3" localSheetId="3" hidden="1">#REF!</definedName>
    <definedName name="data3" localSheetId="7" hidden="1">#REF!</definedName>
    <definedName name="data3" localSheetId="6" hidden="1">#REF!</definedName>
    <definedName name="data3" localSheetId="5" hidden="1">#REF!</definedName>
    <definedName name="data3" hidden="1">#REF!</definedName>
    <definedName name="_xlnm.Database" localSheetId="4" hidden="1">#REF!</definedName>
    <definedName name="_xlnm.Database" localSheetId="3" hidden="1">#REF!</definedName>
    <definedName name="_xlnm.Database" localSheetId="7" hidden="1">#REF!</definedName>
    <definedName name="_xlnm.Database" localSheetId="6" hidden="1">#REF!</definedName>
    <definedName name="_xlnm.Database" localSheetId="5" hidden="1">#REF!</definedName>
    <definedName name="_xlnm.Database" hidden="1">#REF!</definedName>
    <definedName name="dddd" hidden="1">{#N/A,#N/A,FALSE,"Chi tiÆt"}</definedName>
    <definedName name="DenDK" hidden="1">{"'Sheet1'!$L$16"}</definedName>
    <definedName name="dfafa" hidden="1">{#N/A,#N/A,FALSE,"Chi tiÆt"}</definedName>
    <definedName name="dfasf" localSheetId="4" hidden="1">#REF!</definedName>
    <definedName name="dfasf" localSheetId="3" hidden="1">#REF!</definedName>
    <definedName name="dfasf" localSheetId="7" hidden="1">#REF!</definedName>
    <definedName name="dfasf" localSheetId="6" hidden="1">#REF!</definedName>
    <definedName name="dfasf" localSheetId="5" hidden="1">#REF!</definedName>
    <definedName name="dfasf" hidden="1">#REF!</definedName>
    <definedName name="dfd" localSheetId="4" hidden="1">#REF!</definedName>
    <definedName name="dfd" localSheetId="3" hidden="1">#REF!</definedName>
    <definedName name="dfd" localSheetId="7" hidden="1">#REF!</definedName>
    <definedName name="dfd" localSheetId="6" hidden="1">#REF!</definedName>
    <definedName name="dfd" localSheetId="5" hidden="1">#REF!</definedName>
    <definedName name="dfd" hidden="1">#REF!</definedName>
    <definedName name="DFDF" hidden="1">{"ECA Qtrs C",#N/A,TRUE,"ECA_Qtrs_C";"ECA Qtrs D",#N/A,TRUE,"ECA_Qtrs_D";"ECA Qtrs F",#N/A,TRUE,"ECA_Qtrs_F";"ECA Qtrs G",#N/A,TRUE,"ECA_Qtrs_G";"ECA SisterApt",#N/A,TRUE,"ECA_SisterApt";"ECA Nurses",#N/A,TRUE,"ECA_NursesHostel"}</definedName>
    <definedName name="dfdfd" hidden="1">{"'Sheet1'!$L$16"}</definedName>
    <definedName name="DFDFGE" hidden="1">{#N/A,#N/A,FALSE,"Chi tiÆt"}</definedName>
    <definedName name="dfgadfa" hidden="1">{#N/A,#N/A,TRUE,"BT M200 da 10x20"}</definedName>
    <definedName name="dfggg" hidden="1">{"'Sheet1'!$L$16"}</definedName>
    <definedName name="dfgsdsdfe" hidden="1">{"'Sheet1'!$L$16"}</definedName>
    <definedName name="DGKL" localSheetId="4" hidden="1">#REF!</definedName>
    <definedName name="DGKL" localSheetId="3" hidden="1">#REF!</definedName>
    <definedName name="DGKL" localSheetId="7" hidden="1">#REF!</definedName>
    <definedName name="DGKL" localSheetId="6" hidden="1">#REF!</definedName>
    <definedName name="DGKL" localSheetId="5" hidden="1">#REF!</definedName>
    <definedName name="DGKL" hidden="1">#REF!</definedName>
    <definedName name="Discount" localSheetId="4" hidden="1">#REF!</definedName>
    <definedName name="Discount" localSheetId="3" hidden="1">#REF!</definedName>
    <definedName name="Discount" localSheetId="7" hidden="1">#REF!</definedName>
    <definedName name="Discount" localSheetId="6" hidden="1">#REF!</definedName>
    <definedName name="Discount" localSheetId="5" hidden="1">#REF!</definedName>
    <definedName name="Discount" hidden="1">#REF!</definedName>
    <definedName name="display_area_2" localSheetId="4" hidden="1">#REF!</definedName>
    <definedName name="display_area_2" localSheetId="3" hidden="1">#REF!</definedName>
    <definedName name="display_area_2" localSheetId="7" hidden="1">#REF!</definedName>
    <definedName name="display_area_2" localSheetId="6" hidden="1">#REF!</definedName>
    <definedName name="display_area_2" localSheetId="5" hidden="1">#REF!</definedName>
    <definedName name="display_area_2" hidden="1">#REF!</definedName>
    <definedName name="dn" hidden="1">{#N/A,#N/A,FALSE,"혼합골재"}</definedName>
    <definedName name="dohong" hidden="1">{"'Sheet1'!$L$16"}</definedName>
    <definedName name="dsaaee" hidden="1">{"'Sheet1'!$L$16"}</definedName>
    <definedName name="DTMG_vumua" hidden="1">{#N/A,#N/A,FALSE,"Chi tiÆt"}</definedName>
    <definedName name="DTTK" hidden="1">{"'Sheet1'!$L$16"}</definedName>
    <definedName name="dutruchiphi" hidden="1">{"NGUYEN QUI THIEP - Personal View",#N/A,FALSE,"XDCB.HT.FUR."}</definedName>
    <definedName name="DWFW" localSheetId="4" hidden="1">#REF!</definedName>
    <definedName name="DWFW" localSheetId="3" hidden="1">#REF!</definedName>
    <definedName name="DWFW" localSheetId="7" hidden="1">#REF!</definedName>
    <definedName name="DWFW" localSheetId="6" hidden="1">#REF!</definedName>
    <definedName name="DWFW" localSheetId="5" hidden="1">#REF!</definedName>
    <definedName name="DWFW" hidden="1">#REF!</definedName>
    <definedName name="DWPRICE" localSheetId="4" hidden="1">#REF!</definedName>
    <definedName name="DWPRICE" localSheetId="3" hidden="1">#REF!</definedName>
    <definedName name="DWPRICE" localSheetId="7" hidden="1">#REF!</definedName>
    <definedName name="DWPRICE" localSheetId="6" hidden="1">#REF!</definedName>
    <definedName name="DWPRICE" localSheetId="5" hidden="1">#REF!</definedName>
    <definedName name="DWPRICE" hidden="1">#REF!</definedName>
    <definedName name="ee" hidden="1">{#N/A,#N/A,FALSE,"단가표지"}</definedName>
    <definedName name="ẻger" hidden="1">{#N/A,#N/A,TRUE,"BT M200 da 10x20"}</definedName>
    <definedName name="ẻgwe" hidden="1">{"'Sheet1'!$L$16"}</definedName>
    <definedName name="ẻgwrq" localSheetId="4" hidden="1">#REF!</definedName>
    <definedName name="ẻgwrq" localSheetId="3" hidden="1">#REF!</definedName>
    <definedName name="ẻgwrq" localSheetId="7" hidden="1">#REF!</definedName>
    <definedName name="ẻgwrq" localSheetId="6" hidden="1">#REF!</definedName>
    <definedName name="ẻgwrq" localSheetId="5" hidden="1">#REF!</definedName>
    <definedName name="ẻgwrq" hidden="1">#REF!</definedName>
    <definedName name="ERRERHREHRE" localSheetId="4" hidden="1">#REF!</definedName>
    <definedName name="ERRERHREHRE" localSheetId="3" hidden="1">#REF!</definedName>
    <definedName name="ERRERHREHRE" localSheetId="7" hidden="1">#REF!</definedName>
    <definedName name="ERRERHREHRE" localSheetId="6" hidden="1">#REF!</definedName>
    <definedName name="ERRERHREHRE" localSheetId="5" hidden="1">#REF!</definedName>
    <definedName name="ERRERHREHRE" hidden="1">#REF!</definedName>
    <definedName name="­ertq" localSheetId="4" hidden="1">#REF!</definedName>
    <definedName name="­ertq" localSheetId="3" hidden="1">#REF!</definedName>
    <definedName name="­ertq" localSheetId="7" hidden="1">#REF!</definedName>
    <definedName name="­ertq" localSheetId="6" hidden="1">#REF!</definedName>
    <definedName name="­ertq" localSheetId="5" hidden="1">#REF!</definedName>
    <definedName name="­ertq" hidden="1">#REF!</definedName>
    <definedName name="ewfawg" localSheetId="4" hidden="1">#REF!</definedName>
    <definedName name="ewfawg" localSheetId="3" hidden="1">#REF!</definedName>
    <definedName name="ewfawg" localSheetId="7" hidden="1">#REF!</definedName>
    <definedName name="ewfawg" localSheetId="6" hidden="1">#REF!</definedName>
    <definedName name="ewfawg" localSheetId="5" hidden="1">#REF!</definedName>
    <definedName name="ewfawg" hidden="1">#REF!</definedName>
    <definedName name="Êadfa" hidden="1">{"'Sheet1'!$L$16"}</definedName>
    <definedName name="fÇ" hidden="1">{"'Sheet1'!$L$16"}</definedName>
    <definedName name="FCode" localSheetId="4" hidden="1">#REF!</definedName>
    <definedName name="FCode" localSheetId="3" hidden="1">#REF!</definedName>
    <definedName name="FCode" localSheetId="7" hidden="1">#REF!</definedName>
    <definedName name="FCode" localSheetId="6" hidden="1">#REF!</definedName>
    <definedName name="FCode" localSheetId="5" hidden="1">#REF!</definedName>
    <definedName name="FCode" hidden="1">#REF!</definedName>
    <definedName name="FDFNFHFB" localSheetId="4" hidden="1">#REF!</definedName>
    <definedName name="FDFNFHFB" localSheetId="3" hidden="1">#REF!</definedName>
    <definedName name="FDFNFHFB" localSheetId="7" hidden="1">#REF!</definedName>
    <definedName name="FDFNFHFB" localSheetId="6" hidden="1">#REF!</definedName>
    <definedName name="FDFNFHFB" localSheetId="5" hidden="1">#REF!</definedName>
    <definedName name="FDFNFHFB" hidden="1">#REF!</definedName>
    <definedName name="fdgssda" hidden="1">{"'Sheet1'!$L$16"}</definedName>
    <definedName name="ff" hidden="1">{#N/A,#N/A,FALSE,"Chi tiÆt"}</definedName>
    <definedName name="FFFVEGE" localSheetId="4" hidden="1">#REF!</definedName>
    <definedName name="FFFVEGE" localSheetId="3" hidden="1">#REF!</definedName>
    <definedName name="FFFVEGE" localSheetId="7" hidden="1">#REF!</definedName>
    <definedName name="FFFVEGE" localSheetId="6" hidden="1">#REF!</definedName>
    <definedName name="FFFVEGE" localSheetId="5" hidden="1">#REF!</definedName>
    <definedName name="FFFVEGE" hidden="1">#REF!</definedName>
    <definedName name="fgn" hidden="1">{"'Sheet1'!$L$16"}</definedName>
    <definedName name="fgsdaa" hidden="1">{#N/A,#N/A,TRUE,"BT M200 da 10x20"}</definedName>
    <definedName name="fill" localSheetId="4" hidden="1">#REF!</definedName>
    <definedName name="fill" localSheetId="3" hidden="1">#REF!</definedName>
    <definedName name="fill" localSheetId="7" hidden="1">#REF!</definedName>
    <definedName name="fill" localSheetId="6" hidden="1">#REF!</definedName>
    <definedName name="fill" localSheetId="5" hidden="1">#REF!</definedName>
    <definedName name="fill" hidden="1">#REF!</definedName>
    <definedName name="FILLL" localSheetId="4" hidden="1">#REF!</definedName>
    <definedName name="FILLL" localSheetId="3" hidden="1">#REF!</definedName>
    <definedName name="FILLL" localSheetId="7" hidden="1">#REF!</definedName>
    <definedName name="FILLL" localSheetId="6" hidden="1">#REF!</definedName>
    <definedName name="FILLL" localSheetId="5" hidden="1">#REF!</definedName>
    <definedName name="FILLL" hidden="1">#REF!</definedName>
    <definedName name="fjf" hidden="1">{"'Sheet1'!$L$16"}</definedName>
    <definedName name="fsdf" hidden="1">{"'Sheet1'!$L$16"}</definedName>
    <definedName name="fsdfdsf" hidden="1">{"'Sheet1'!$L$16"}</definedName>
    <definedName name="fsfsfdd" hidden="1">{"'Sheet1'!$L$16"}</definedName>
    <definedName name="găgawg" localSheetId="4" hidden="1">#REF!</definedName>
    <definedName name="găgawg" localSheetId="3" hidden="1">#REF!</definedName>
    <definedName name="găgawg" localSheetId="7" hidden="1">#REF!</definedName>
    <definedName name="găgawg" localSheetId="6" hidden="1">#REF!</definedName>
    <definedName name="găgawg" localSheetId="5" hidden="1">#REF!</definedName>
    <definedName name="găgawg" hidden="1">#REF!</definedName>
    <definedName name="gbb" hidden="1">{"'Sheet1'!$L$16"}</definedName>
    <definedName name="gdfgds" localSheetId="4" hidden="1">#REF!</definedName>
    <definedName name="gdfgds" localSheetId="3" hidden="1">#REF!</definedName>
    <definedName name="gdfgds" localSheetId="7" hidden="1">#REF!</definedName>
    <definedName name="gdfgds" localSheetId="6" hidden="1">#REF!</definedName>
    <definedName name="gdfgds" localSheetId="5" hidden="1">#REF!</definedName>
    <definedName name="gdfgds" hidden="1">#REF!</definedName>
    <definedName name="GDS" hidden="1">{"'Sheet1'!$L$16"}</definedName>
    <definedName name="ge" hidden="1">{"'Sheet1'!$L$16"}</definedName>
    <definedName name="gẻgweg" localSheetId="4" hidden="1">#REF!</definedName>
    <definedName name="gẻgweg" localSheetId="3" hidden="1">#REF!</definedName>
    <definedName name="gẻgweg" localSheetId="7" hidden="1">#REF!</definedName>
    <definedName name="gẻgweg" localSheetId="6" hidden="1">#REF!</definedName>
    <definedName name="gẻgweg" localSheetId="5" hidden="1">#REF!</definedName>
    <definedName name="gẻgweg" hidden="1">#REF!</definedName>
    <definedName name="GFDD" localSheetId="4" hidden="1">#REF!</definedName>
    <definedName name="GFDD" localSheetId="3" hidden="1">#REF!</definedName>
    <definedName name="GFDD" localSheetId="7" hidden="1">#REF!</definedName>
    <definedName name="GFDD" localSheetId="6" hidden="1">#REF!</definedName>
    <definedName name="GFDD" localSheetId="5" hidden="1">#REF!</definedName>
    <definedName name="GFDD" hidden="1">#REF!</definedName>
    <definedName name="gfdg" hidden="1">{"'Sheet1'!$L$16"}</definedName>
    <definedName name="gg" hidden="1">{#N/A,#N/A,FALSE,"Chi tiÆt"}</definedName>
    <definedName name="ggg" hidden="1">{#N/A,#N/A,FALSE,"Chi tiÆt"}</definedName>
    <definedName name="ggsf" localSheetId="4" hidden="1">#REF!</definedName>
    <definedName name="ggsf" localSheetId="3" hidden="1">#REF!</definedName>
    <definedName name="ggsf" localSheetId="7" hidden="1">#REF!</definedName>
    <definedName name="ggsf" localSheetId="6" hidden="1">#REF!</definedName>
    <definedName name="ggsf" localSheetId="5" hidden="1">#REF!</definedName>
    <definedName name="ggsf" hidden="1">#REF!</definedName>
    <definedName name="GH" localSheetId="4" hidden="1">#REF!</definedName>
    <definedName name="GH" localSheetId="3" hidden="1">#REF!</definedName>
    <definedName name="GH" localSheetId="7" hidden="1">#REF!</definedName>
    <definedName name="GH" localSheetId="6" hidden="1">#REF!</definedName>
    <definedName name="GH" localSheetId="5" hidden="1">#REF!</definedName>
    <definedName name="GH" hidden="1">#REF!</definedName>
    <definedName name="ghfh" hidden="1">{#N/A,#N/A,FALSE,"Chi tiÆt"}</definedName>
    <definedName name="GHGH"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ghhdsg" localSheetId="4" hidden="1">#REF!</definedName>
    <definedName name="ghhdsg" localSheetId="3" hidden="1">#REF!</definedName>
    <definedName name="ghhdsg" localSheetId="7" hidden="1">#REF!</definedName>
    <definedName name="ghhdsg" localSheetId="6" hidden="1">#REF!</definedName>
    <definedName name="ghhdsg" localSheetId="5" hidden="1">#REF!</definedName>
    <definedName name="ghhdsg" hidden="1">#REF!</definedName>
    <definedName name="ghj" hidden="1">{"'Sheet1'!$L$16"}</definedName>
    <definedName name="ghjgj" localSheetId="4" hidden="1">#REF!</definedName>
    <definedName name="ghjgj" localSheetId="3" hidden="1">#REF!</definedName>
    <definedName name="ghjgj" localSheetId="7" hidden="1">#REF!</definedName>
    <definedName name="ghjgj" localSheetId="6" hidden="1">#REF!</definedName>
    <definedName name="ghjgj" localSheetId="5" hidden="1">#REF!</definedName>
    <definedName name="ghjgj" hidden="1">#REF!</definedName>
    <definedName name="gj" localSheetId="4" hidden="1">#REF!</definedName>
    <definedName name="gj" localSheetId="3" hidden="1">#REF!</definedName>
    <definedName name="gj" localSheetId="7" hidden="1">#REF!</definedName>
    <definedName name="gj" localSheetId="6" hidden="1">#REF!</definedName>
    <definedName name="gj" localSheetId="5" hidden="1">#REF!</definedName>
    <definedName name="gj" hidden="1">#REF!</definedName>
    <definedName name="gjgjghh" localSheetId="4" hidden="1">#REF!</definedName>
    <definedName name="gjgjghh" localSheetId="3" hidden="1">#REF!</definedName>
    <definedName name="gjgjghh" localSheetId="7" hidden="1">#REF!</definedName>
    <definedName name="gjgjghh" localSheetId="6" hidden="1">#REF!</definedName>
    <definedName name="gjgjghh" localSheetId="5" hidden="1">#REF!</definedName>
    <definedName name="gjgjghh" hidden="1">#REF!</definedName>
    <definedName name="grew" localSheetId="4" hidden="1">#REF!</definedName>
    <definedName name="grew" localSheetId="3" hidden="1">#REF!</definedName>
    <definedName name="grew" localSheetId="7" hidden="1">#REF!</definedName>
    <definedName name="grew" localSheetId="6" hidden="1">#REF!</definedName>
    <definedName name="grew" localSheetId="5" hidden="1">#REF!</definedName>
    <definedName name="grew" hidden="1">#REF!</definedName>
    <definedName name="grgeg" localSheetId="4" hidden="1">#REF!</definedName>
    <definedName name="grgeg" localSheetId="3" hidden="1">#REF!</definedName>
    <definedName name="grgeg" localSheetId="7" hidden="1">#REF!</definedName>
    <definedName name="grgeg" localSheetId="6" hidden="1">#REF!</definedName>
    <definedName name="grgeg" localSheetId="5" hidden="1">#REF!</definedName>
    <definedName name="grgeg" hidden="1">#REF!</definedName>
    <definedName name="gþô" hidden="1">{"Offgrid",#N/A,FALSE,"OFFGRID";"Region",#N/A,FALSE,"REGION";"Offgrid -2",#N/A,FALSE,"OFFGRID";"WTP",#N/A,FALSE,"WTP";"WTP -2",#N/A,FALSE,"WTP";"Project",#N/A,FALSE,"PROJECT";"Summary -2",#N/A,FALSE,"SUMMARY"}</definedName>
    <definedName name="GƯD" hidden="1">{"'Sheet1'!$L$16"}</definedName>
    <definedName name="GYGY"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h" hidden="1">{"'Sheet1'!$L$16"}</definedName>
    <definedName name="h_xoa" hidden="1">{"'Sheet1'!$L$16"}</definedName>
    <definedName name="h_xoa2" hidden="1">{"'Sheet1'!$L$16"}</definedName>
    <definedName name="hai" hidden="1">{"'Sheet1'!$L$16"}</definedName>
    <definedName name="han" localSheetId="4" hidden="1">#REF!</definedName>
    <definedName name="han" localSheetId="3" hidden="1">#REF!</definedName>
    <definedName name="han" localSheetId="7" hidden="1">#REF!</definedName>
    <definedName name="han" localSheetId="6" hidden="1">#REF!</definedName>
    <definedName name="han" localSheetId="5" hidden="1">#REF!</definedName>
    <definedName name="han" hidden="1">#REF!</definedName>
    <definedName name="hbbbbbb" hidden="1">{"'Sheet1'!$L$16"}</definedName>
    <definedName name="hdfhdh" localSheetId="4" hidden="1">#REF!</definedName>
    <definedName name="hdfhdh" localSheetId="3" hidden="1">#REF!</definedName>
    <definedName name="hdfhdh" localSheetId="7" hidden="1">#REF!</definedName>
    <definedName name="hdfhdh" localSheetId="6" hidden="1">#REF!</definedName>
    <definedName name="hdfhdh" localSheetId="5" hidden="1">#REF!</definedName>
    <definedName name="hdfhdh" hidden="1">#REF!</definedName>
    <definedName name="hdhgd" hidden="1">{TRUE,TRUE,1.75,2.5,474.75,251.25,FALSE,TRUE,TRUE,TRUE,0,12,#N/A,4,#N/A,15.0222222222222,12.7619047619048,1,FALSE,FALSE,1,TRUE,1,FALSE,100,"'950618.XLS'!R5C18","'950618.XLS'!R5C18",1,FALSE,FALSE,0.393700787401575,0.393700787401575,0.393700787401575,0.393700787401575,2,"","",FALSE,FALSE,FALSE,FALSE,1,100,#N/A,#N/A,FALSE,FALSE,#N/A,#N/A,FALSE,FALSE}</definedName>
    <definedName name="hehdhdh" hidden="1">{TRUE,TRUE,1.75,2.5,474.75,251.25,FALSE,TRUE,TRUE,TRUE,0,12,#N/A,4,#N/A,15.0222222222222,12.7619047619048,1,FALSE,FALSE,1,TRUE,1,FALSE,100,"'950618.XLS'!R5C18","'950618.XLS'!R5C18",1,FALSE,FALSE,0.393700787401575,0.393700787401575,0.393700787401575,0.393700787401575,2,"","",FALSE,FALSE,FALSE,FALSE,1,100,#N/A,#N/A,FALSE,FALSE,#N/A,#N/A,FALSE,FALSE}</definedName>
    <definedName name="hehehe" hidden="1">{#N/A,#N/A,FALSE,"Chi tiÆt"}</definedName>
    <definedName name="hehgeh" localSheetId="4" hidden="1">#REF!</definedName>
    <definedName name="hehgeh" localSheetId="3" hidden="1">#REF!</definedName>
    <definedName name="hehgeh" localSheetId="7" hidden="1">#REF!</definedName>
    <definedName name="hehgeh" localSheetId="6" hidden="1">#REF!</definedName>
    <definedName name="hehgeh" localSheetId="5" hidden="1">#REF!</definedName>
    <definedName name="hehgeh" hidden="1">#REF!</definedName>
    <definedName name="hehreh" hidden="1">{"'Sheet1'!$L$16"}</definedName>
    <definedName name="hergyew" hidden="1">{"'Sheet1'!$L$16"}</definedName>
    <definedName name="HGFH"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hhh" hidden="1">{"'Sheet1'!$L$16"}</definedName>
    <definedName name="hhhh" hidden="1">{"'Sheet1'!$L$16"}</definedName>
    <definedName name="hhhhh" hidden="1">{"'Sheet1'!$L$16"}</definedName>
    <definedName name="hhhhhh" hidden="1">{"'Sheet1'!$L$16"}</definedName>
    <definedName name="HiddenRows" localSheetId="4" hidden="1">#REF!</definedName>
    <definedName name="HiddenRows" localSheetId="3" hidden="1">#REF!</definedName>
    <definedName name="HiddenRows" localSheetId="7" hidden="1">#REF!</definedName>
    <definedName name="HiddenRows" localSheetId="6" hidden="1">#REF!</definedName>
    <definedName name="HiddenRows" localSheetId="5" hidden="1">#REF!</definedName>
    <definedName name="HiddenRows" hidden="1">#REF!</definedName>
    <definedName name="hj" hidden="1">{"'Sheet1'!$L$16"}</definedName>
    <definedName name="HJHH" hidden="1">{"ECA Qtrs C",#N/A,TRUE,"ECA_Qtrs_C";"ECA Qtrs D",#N/A,TRUE,"ECA_Qtrs_D";"ECA Qtrs F",#N/A,TRUE,"ECA_Qtrs_F";"ECA Qtrs G",#N/A,TRUE,"ECA_Qtrs_G";"ECA SisterApt",#N/A,TRUE,"ECA_SisterApt";"ECA Nurses",#N/A,TRUE,"ECA_NursesHostel"}</definedName>
    <definedName name="HKJHJ"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hoanthien" localSheetId="4" hidden="1">#REF!</definedName>
    <definedName name="hoanthien" localSheetId="3" hidden="1">#REF!</definedName>
    <definedName name="hoanthien" localSheetId="7" hidden="1">#REF!</definedName>
    <definedName name="hoanthien" localSheetId="6" hidden="1">#REF!</definedName>
    <definedName name="hoanthien" localSheetId="5" hidden="1">#REF!</definedName>
    <definedName name="hoanthien" hidden="1">#REF!</definedName>
    <definedName name="hteye" hidden="1">{TRUE,TRUE,1.75,2.5,474.75,251.25,FALSE,TRUE,TRUE,TRUE,0,12,#N/A,4,#N/A,15.0222222222222,12.7619047619048,1,FALSE,FALSE,1,TRUE,1,FALSE,100,"'950618.XLS'!R5C18","'950618.XLS'!R5C18",1,FALSE,FALSE,0.393700787401575,0.393700787401575,0.393700787401575,0.393700787401575,2,"","",FALSE,FALSE,FALSE,FALSE,1,100,#N/A,#N/A,FALSE,FALSE,#N/A,#N/A,FALSE,FALSE}</definedName>
    <definedName name="HTML_CodePage" hidden="1">950</definedName>
    <definedName name="HTML_Control" hidden="1">{"'Sheet1'!$L$16"}</definedName>
    <definedName name="html_control_xoa2" hidden="1">{"'Sheet1'!$L$16"}</definedName>
    <definedName name="HTML_Controlmoi"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PathFilemoi" hidden="1">"C:\2689\Q\國內\00q3961台化龍德PTA3建造\MyHTML.htm"</definedName>
    <definedName name="HTML_Title" hidden="1">"00Q3961-SUM"</definedName>
    <definedName name="htmll" hidden="1">{"'Sheet1'!$L$16"}</definedName>
    <definedName name="HUH"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HUHU"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HUHUH"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huy" hidden="1">{"'Sheet1'!$L$16"}</definedName>
    <definedName name="huy_xoa" hidden="1">{"'Sheet1'!$L$16"}</definedName>
    <definedName name="huy_xoa2" hidden="1">{"'Sheet1'!$L$16"}</definedName>
    <definedName name="huymoi" hidden="1">{"'Sheet1'!$L$16"}</definedName>
    <definedName name="huyy" hidden="1">{"'Sheet1'!$L$16"}</definedName>
    <definedName name="huyyy" hidden="1">{"'Sheet1'!$L$16"}</definedName>
    <definedName name="ityityit" hidden="1">{#N/A,#N/A,FALSE,"변경관리예산";#N/A,#N/A,FALSE,"변경장비예산";#N/A,#N/A,FALSE,"변경준설예산";#N/A,#N/A,FALSE,"변경철구예산"}</definedName>
    <definedName name="iutrir" hidden="1">{#N/A,#N/A,FALSE,"부대1"}</definedName>
    <definedName name="j" localSheetId="4" hidden="1">#REF!</definedName>
    <definedName name="j" localSheetId="3" hidden="1">#REF!</definedName>
    <definedName name="j" localSheetId="7" hidden="1">#REF!</definedName>
    <definedName name="j" localSheetId="6" hidden="1">#REF!</definedName>
    <definedName name="j" localSheetId="5" hidden="1">#REF!</definedName>
    <definedName name="j" hidden="1">#REF!</definedName>
    <definedName name="jfc" hidden="1">{"'Sheet1'!$L$16"}</definedName>
    <definedName name="jfgjfjfj" localSheetId="4" hidden="1">#REF!</definedName>
    <definedName name="jfgjfjfj" localSheetId="3" hidden="1">#REF!</definedName>
    <definedName name="jfgjfjfj" localSheetId="7" hidden="1">#REF!</definedName>
    <definedName name="jfgjfjfj" localSheetId="6" hidden="1">#REF!</definedName>
    <definedName name="jfgjfjfj" localSheetId="5" hidden="1">#REF!</definedName>
    <definedName name="jfgjfjfj" hidden="1">#REF!</definedName>
    <definedName name="JFH"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JHG"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JHGH"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JKH"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jtrujt" hidden="1">{#N/A,#N/A,FALSE,"부대2"}</definedName>
    <definedName name="k_xoa" hidden="1">{"Offgrid",#N/A,FALSE,"OFFGRID";"Region",#N/A,FALSE,"REGION";"Offgrid -2",#N/A,FALSE,"OFFGRID";"WTP",#N/A,FALSE,"WTP";"WTP -2",#N/A,FALSE,"WTP";"Project",#N/A,FALSE,"PROJECT";"Summary -2",#N/A,FALSE,"SUMMARY"}</definedName>
    <definedName name="kj" hidden="1">{#N/A,#N/A,FALSE,"Chi tiÆt"}</definedName>
    <definedName name="kk" localSheetId="4" hidden="1">#REF!</definedName>
    <definedName name="kk" localSheetId="3" hidden="1">#REF!</definedName>
    <definedName name="kk" localSheetId="7" hidden="1">#REF!</definedName>
    <definedName name="kk" localSheetId="6" hidden="1">#REF!</definedName>
    <definedName name="kk" localSheetId="5" hidden="1">#REF!</definedName>
    <definedName name="kk" hidden="1">#REF!</definedName>
    <definedName name="kljg" hidden="1">{"'Sheet1'!$L$16"}</definedName>
    <definedName name="khanh" localSheetId="4" hidden="1">#REF!</definedName>
    <definedName name="khanh" localSheetId="3" hidden="1">#REF!</definedName>
    <definedName name="khanh" localSheetId="7" hidden="1">#REF!</definedName>
    <definedName name="khanh" localSheetId="6" hidden="1">#REF!</definedName>
    <definedName name="khanh" localSheetId="5" hidden="1">#REF!</definedName>
    <definedName name="khanh" hidden="1">#REF!</definedName>
    <definedName name="KHGDFKHGFJKGF" localSheetId="4" hidden="1">#REF!</definedName>
    <definedName name="KHGDFKHGFJKGF" localSheetId="3" hidden="1">#REF!</definedName>
    <definedName name="KHGDFKHGFJKGF" localSheetId="7" hidden="1">#REF!</definedName>
    <definedName name="KHGDFKHGFJKGF" localSheetId="6" hidden="1">#REF!</definedName>
    <definedName name="KHGDFKHGFJKGF" localSheetId="5" hidden="1">#REF!</definedName>
    <definedName name="KHGDFKHGFJKGF" hidden="1">#REF!</definedName>
    <definedName name="Khu" hidden="1">{#N/A,#N/A,FALSE,"Chi tiÆt"}</definedName>
    <definedName name="lan" hidden="1">{#N/A,#N/A,TRUE,"BT M200 da 10x20"}</definedName>
    <definedName name="LEEEE" hidden="1">{TRUE,TRUE,1.75,2.5,474.75,251.25,FALSE,TRUE,TRUE,TRUE,0,12,#N/A,4,#N/A,15.0222222222222,12.7619047619048,1,FALSE,FALSE,1,TRUE,1,FALSE,100,"'950618.XLS'!R5C18","'950618.XLS'!R5C18",1,FALSE,FALSE,0.393700787401575,0.393700787401575,0.393700787401575,0.393700787401575,2,"","",FALSE,FALSE,FALSE,FALSE,1,100,#N/A,#N/A,FALSE,FALSE,#N/A,#N/A,FALSE,FALSE}</definedName>
    <definedName name="linh" hidden="1">{"'Sheet1'!$L$16"}</definedName>
    <definedName name="LLEE" hidden="1">{TRUE,TRUE,1.75,2.5,474.75,251.25,FALSE,TRUE,TRUE,TRUE,0,12,#N/A,4,#N/A,15.0222222222222,12.7619047619048,1,FALSE,FALSE,1,TRUE,1,FALSE,100,"'950618.XLS'!R5C18","'950618.XLS'!R5C18",1,FALSE,FALSE,0.393700787401575,0.393700787401575,0.393700787401575,0.393700787401575,2,"","",FALSE,FALSE,FALSE,FALSE,1,100,#N/A,#N/A,FALSE,FALSE,#N/A,#N/A,FALSE,FALSE}</definedName>
    <definedName name="lll" hidden="1">{#N/A,#N/A,FALSE,"特殊室（ＢＱ表）"}</definedName>
    <definedName name="mat.spare" hidden="1">{"'ELEC'!$A$2:$H$216","'ELEC'!$C$2:$D$2"}</definedName>
    <definedName name="minh" hidden="1">{"'Sheet1'!$L$16"}</definedName>
    <definedName name="mong" hidden="1">{#N/A,#N/A,FALSE,"Chi tiÆt"}</definedName>
    <definedName name="mua" hidden="1">{"'Sheet1'!$L$16"}</definedName>
    <definedName name="n" localSheetId="4" hidden="1">#REF!</definedName>
    <definedName name="n" localSheetId="3" hidden="1">#REF!</definedName>
    <definedName name="n" localSheetId="7" hidden="1">#REF!</definedName>
    <definedName name="n" localSheetId="6" hidden="1">#REF!</definedName>
    <definedName name="n" localSheetId="5" hidden="1">#REF!</definedName>
    <definedName name="n" hidden="1">#REF!</definedName>
    <definedName name="na" hidden="1">{"'Sheet1'!$L$16"}</definedName>
    <definedName name="nego검토"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ntwrt" localSheetId="4" hidden="1">#REF!</definedName>
    <definedName name="ntwrt" localSheetId="3" hidden="1">#REF!</definedName>
    <definedName name="ntwrt" localSheetId="7" hidden="1">#REF!</definedName>
    <definedName name="ntwrt" localSheetId="6" hidden="1">#REF!</definedName>
    <definedName name="ntwrt" localSheetId="5" hidden="1">#REF!</definedName>
    <definedName name="ntwrt" hidden="1">#REF!</definedName>
    <definedName name="NUOCHKHOAN" hidden="1">{"'Sheet1'!$L$16"}</definedName>
    <definedName name="NUOCHKHOANMOI" hidden="1">{"'Sheet1'!$L$16"}</definedName>
    <definedName name="oa" localSheetId="4" hidden="1">#REF!</definedName>
    <definedName name="oa" localSheetId="3" hidden="1">#REF!</definedName>
    <definedName name="oa" localSheetId="7" hidden="1">#REF!</definedName>
    <definedName name="oa" localSheetId="6" hidden="1">#REF!</definedName>
    <definedName name="oa" localSheetId="5" hidden="1">#REF!</definedName>
    <definedName name="oa" hidden="1">#REF!</definedName>
    <definedName name="OrderTable" localSheetId="4" hidden="1">#REF!</definedName>
    <definedName name="OrderTable" localSheetId="3" hidden="1">#REF!</definedName>
    <definedName name="OrderTable" localSheetId="7" hidden="1">#REF!</definedName>
    <definedName name="OrderTable" localSheetId="6" hidden="1">#REF!</definedName>
    <definedName name="OrderTable" localSheetId="5" hidden="1">#REF!</definedName>
    <definedName name="OrderTable" hidden="1">#REF!</definedName>
    <definedName name="PAIII_" hidden="1">{"'Sheet1'!$L$16"}</definedName>
    <definedName name="PMS" hidden="1">{"'Sheet1'!$L$16"}</definedName>
    <definedName name="Port1" hidden="1">{#N/A,#N/A,FALSE,"特殊室（ＢＱ表）"}</definedName>
    <definedName name="port11" hidden="1">{#N/A,#N/A,FALSE,"特殊室（ＢＱ表）"}</definedName>
    <definedName name="ProdForm" localSheetId="4" hidden="1">#REF!</definedName>
    <definedName name="ProdForm" localSheetId="3" hidden="1">#REF!</definedName>
    <definedName name="ProdForm" localSheetId="7" hidden="1">#REF!</definedName>
    <definedName name="ProdForm" localSheetId="6" hidden="1">#REF!</definedName>
    <definedName name="ProdForm" localSheetId="5" hidden="1">#REF!</definedName>
    <definedName name="ProdForm" hidden="1">#REF!</definedName>
    <definedName name="Product" localSheetId="4" hidden="1">#REF!</definedName>
    <definedName name="Product" localSheetId="3" hidden="1">#REF!</definedName>
    <definedName name="Product" localSheetId="7" hidden="1">#REF!</definedName>
    <definedName name="Product" localSheetId="6" hidden="1">#REF!</definedName>
    <definedName name="Product" localSheetId="5" hidden="1">#REF!</definedName>
    <definedName name="Product" hidden="1">#REF!</definedName>
    <definedName name="q" localSheetId="4" hidden="1">#REF!</definedName>
    <definedName name="q" localSheetId="3" hidden="1">#REF!</definedName>
    <definedName name="q" localSheetId="7" hidden="1">#REF!</definedName>
    <definedName name="q" localSheetId="6" hidden="1">#REF!</definedName>
    <definedName name="q" localSheetId="5" hidden="1">#REF!</definedName>
    <definedName name="q" hidden="1">#REF!</definedName>
    <definedName name="qncjstkdehdwhrud" hidden="1">{#N/A,#N/A,TRUE,"1";#N/A,#N/A,TRUE,"2";#N/A,#N/A,TRUE,"3";#N/A,#N/A,TRUE,"4";#N/A,#N/A,TRUE,"5";#N/A,#N/A,TRUE,"6";#N/A,#N/A,TRUE,"7"}</definedName>
    <definedName name="qw" hidden="1">{#N/A,#N/A,FALSE,"단가표지"}</definedName>
    <definedName name="quantity" hidden="1">{TRUE,TRUE,1.75,2.5,474.75,251.25,FALSE,TRUE,TRUE,TRUE,0,12,#N/A,4,#N/A,15.0222222222222,12.7619047619048,1,FALSE,FALSE,1,TRUE,1,FALSE,100,"'950618.XLS'!R5C18","'950618.XLS'!R5C18",1,FALSE,FALSE,0.393700787401575,0.393700787401575,0.393700787401575,0.393700787401575,2,"","",FALSE,FALSE,FALSE,FALSE,1,100,#N/A,#N/A,FALSE,FALSE,#N/A,#N/A,FALSE,FALSE}</definedName>
    <definedName name="RCArea" localSheetId="4" hidden="1">#REF!</definedName>
    <definedName name="RCArea" localSheetId="3" hidden="1">#REF!</definedName>
    <definedName name="RCArea" localSheetId="7" hidden="1">#REF!</definedName>
    <definedName name="RCArea" localSheetId="6" hidden="1">#REF!</definedName>
    <definedName name="RCArea" localSheetId="5" hidden="1">#REF!</definedName>
    <definedName name="RCArea" hidden="1">#REF!</definedName>
    <definedName name="report1" hidden="1">{#N/A,#N/A,FALSE,"特殊室（ＢＱ表）"}</definedName>
    <definedName name="report2" hidden="1">{#N/A,#N/A,FALSE,"特殊室（ＢＱ表）"}</definedName>
    <definedName name="Result21" hidden="1">{"'Sheet1'!$L$16"}</definedName>
    <definedName name="rewgwegn" hidden="1">{"'Sheet1'!$L$16"}</definedName>
    <definedName name="rf" hidden="1">{"'Sheet1'!$L$16"}</definedName>
    <definedName name="rgeger" localSheetId="4" hidden="1">#REF!</definedName>
    <definedName name="rgeger" localSheetId="3" hidden="1">#REF!</definedName>
    <definedName name="rgeger" localSheetId="7" hidden="1">#REF!</definedName>
    <definedName name="rgeger" localSheetId="6" hidden="1">#REF!</definedName>
    <definedName name="rgeger" localSheetId="5" hidden="1">#REF!</definedName>
    <definedName name="rgeger" hidden="1">#REF!</definedName>
    <definedName name="rger" localSheetId="4" hidden="1">#REF!</definedName>
    <definedName name="rger" localSheetId="3" hidden="1">#REF!</definedName>
    <definedName name="rger" localSheetId="7" hidden="1">#REF!</definedName>
    <definedName name="rger" localSheetId="6" hidden="1">#REF!</definedName>
    <definedName name="rger" localSheetId="5" hidden="1">#REF!</definedName>
    <definedName name="rger" hidden="1">#REF!</definedName>
    <definedName name="rgwerg" hidden="1">{#N/A,#N/A,FALSE,"Chi tiÆt"}</definedName>
    <definedName name="RKDLKS" hidden="1">{#N/A,#N/A,TRUE,"1";#N/A,#N/A,TRUE,"2";#N/A,#N/A,TRUE,"3";#N/A,#N/A,TRUE,"4";#N/A,#N/A,TRUE,"5";#N/A,#N/A,TRUE,"6";#N/A,#N/A,TRUE,"7"}</definedName>
    <definedName name="rr" hidden="1">{#N/A,#N/A,FALSE,"단가표지"}</definedName>
    <definedName name="sa" hidden="1">{#N/A,#N/A,TRUE,"Str.";#N/A,#N/A,TRUE,"Steel &amp; Roof";#N/A,#N/A,TRUE,"Arc.";#N/A,#N/A,TRUE,"Preliminary";#N/A,#N/A,TRUE,"Sum_Prelim"}</definedName>
    <definedName name="safdaf" localSheetId="4" hidden="1">#REF!</definedName>
    <definedName name="safdaf" localSheetId="3" hidden="1">#REF!</definedName>
    <definedName name="safdaf" localSheetId="7" hidden="1">#REF!</definedName>
    <definedName name="safdaf" localSheetId="6" hidden="1">#REF!</definedName>
    <definedName name="safdaf" localSheetId="5" hidden="1">#REF!</definedName>
    <definedName name="safdaf" hidden="1">#REF!</definedName>
    <definedName name="sas" localSheetId="4" hidden="1">#REF!</definedName>
    <definedName name="sas" localSheetId="3" hidden="1">#REF!</definedName>
    <definedName name="sas" localSheetId="7" hidden="1">#REF!</definedName>
    <definedName name="sas" localSheetId="6" hidden="1">#REF!</definedName>
    <definedName name="sas" localSheetId="5" hidden="1">#REF!</definedName>
    <definedName name="sas" hidden="1">#REF!</definedName>
    <definedName name="sdfgdfg" localSheetId="4" hidden="1">#REF!</definedName>
    <definedName name="sdfgdfg" localSheetId="3" hidden="1">#REF!</definedName>
    <definedName name="sdfgdfg" localSheetId="7" hidden="1">#REF!</definedName>
    <definedName name="sdfgdfg" localSheetId="6" hidden="1">#REF!</definedName>
    <definedName name="sdfgdfg" localSheetId="5" hidden="1">#REF!</definedName>
    <definedName name="sdfgdfg" hidden="1">#REF!</definedName>
    <definedName name="sdfhsf" localSheetId="4" hidden="1">#REF!</definedName>
    <definedName name="sdfhsf" localSheetId="3" hidden="1">#REF!</definedName>
    <definedName name="sdfhsf" localSheetId="7" hidden="1">#REF!</definedName>
    <definedName name="sdfhsf" localSheetId="6" hidden="1">#REF!</definedName>
    <definedName name="sdfhsf" localSheetId="5" hidden="1">#REF!</definedName>
    <definedName name="sdfhsf" hidden="1">#REF!</definedName>
    <definedName name="sdg" localSheetId="4" hidden="1">#REF!</definedName>
    <definedName name="sdg" localSheetId="3" hidden="1">#REF!</definedName>
    <definedName name="sdg" localSheetId="7" hidden="1">#REF!</definedName>
    <definedName name="sdg" localSheetId="6" hidden="1">#REF!</definedName>
    <definedName name="sdg" localSheetId="5" hidden="1">#REF!</definedName>
    <definedName name="sdg" hidden="1">#REF!</definedName>
    <definedName name="sfdgnl"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sgasgreg" localSheetId="4" hidden="1">#REF!</definedName>
    <definedName name="sgasgreg" localSheetId="3" hidden="1">#REF!</definedName>
    <definedName name="sgasgreg" localSheetId="7" hidden="1">#REF!</definedName>
    <definedName name="sgasgreg" localSheetId="6" hidden="1">#REF!</definedName>
    <definedName name="sgasgreg" localSheetId="5" hidden="1">#REF!</definedName>
    <definedName name="sgasgreg" hidden="1">#REF!</definedName>
    <definedName name="sheet3" hidden="1">{"NGUYEN QUI THIEP - Personal View",#N/A,FALSE,"XDCB.HT.FUR."}</definedName>
    <definedName name="sort" localSheetId="4" hidden="1">#REF!</definedName>
    <definedName name="sort" localSheetId="3" hidden="1">#REF!</definedName>
    <definedName name="sort" localSheetId="7" hidden="1">#REF!</definedName>
    <definedName name="sort" localSheetId="6" hidden="1">#REF!</definedName>
    <definedName name="sort" localSheetId="5" hidden="1">#REF!</definedName>
    <definedName name="sort" hidden="1">#REF!</definedName>
    <definedName name="SpecialPrice" localSheetId="4" hidden="1">#REF!</definedName>
    <definedName name="SpecialPrice" localSheetId="3" hidden="1">#REF!</definedName>
    <definedName name="SpecialPrice" localSheetId="7" hidden="1">#REF!</definedName>
    <definedName name="SpecialPrice" localSheetId="6" hidden="1">#REF!</definedName>
    <definedName name="SpecialPrice" localSheetId="5" hidden="1">#REF!</definedName>
    <definedName name="SpecialPrice" hidden="1">#REF!</definedName>
    <definedName name="sss" hidden="1">{#N/A,#N/A,FALSE,"전력간선"}</definedName>
    <definedName name="sy" localSheetId="4" hidden="1">#REF!</definedName>
    <definedName name="sy" localSheetId="3" hidden="1">#REF!</definedName>
    <definedName name="sy" localSheetId="7" hidden="1">#REF!</definedName>
    <definedName name="sy" localSheetId="6" hidden="1">#REF!</definedName>
    <definedName name="sy" localSheetId="5" hidden="1">#REF!</definedName>
    <definedName name="sy" hidden="1">#REF!</definedName>
    <definedName name="tammmm" hidden="1">{#N/A,#N/A,FALSE,"Chi tiÆt"}</definedName>
    <definedName name="Tan" hidden="1">{"'Sheet1'!$L$16"}</definedName>
    <definedName name="tbl_ProdInfo" localSheetId="4" hidden="1">#REF!</definedName>
    <definedName name="tbl_ProdInfo" localSheetId="3" hidden="1">#REF!</definedName>
    <definedName name="tbl_ProdInfo" localSheetId="7" hidden="1">#REF!</definedName>
    <definedName name="tbl_ProdInfo" localSheetId="6" hidden="1">#REF!</definedName>
    <definedName name="tbl_ProdInfo" localSheetId="5" hidden="1">#REF!</definedName>
    <definedName name="tbl_ProdInfo" hidden="1">#REF!</definedName>
    <definedName name="tirirn" hidden="1">{"'Sheet1'!$L$16"}</definedName>
    <definedName name="TKthep" localSheetId="4" hidden="1">#REF!</definedName>
    <definedName name="TKthep" localSheetId="3" hidden="1">#REF!</definedName>
    <definedName name="TKthep" localSheetId="7" hidden="1">#REF!</definedName>
    <definedName name="TKthep" localSheetId="6" hidden="1">#REF!</definedName>
    <definedName name="TKthep" localSheetId="5" hidden="1">#REF!</definedName>
    <definedName name="TKthep" hidden="1">#REF!</definedName>
    <definedName name="TL" hidden="1">{#N/A,#N/A,FALSE,"Chi tiÆt"}</definedName>
    <definedName name="TLP" hidden="1">{#N/A,#N/A,FALSE,"Chi tiÆt"}</definedName>
    <definedName name="TLPMG" hidden="1">{"'Sheet1'!$L$16"}</definedName>
    <definedName name="töe" localSheetId="4" hidden="1">#REF!</definedName>
    <definedName name="töe" localSheetId="3" hidden="1">#REF!</definedName>
    <definedName name="töe" localSheetId="7" hidden="1">#REF!</definedName>
    <definedName name="töe" localSheetId="6" hidden="1">#REF!</definedName>
    <definedName name="töe" localSheetId="5" hidden="1">#REF!</definedName>
    <definedName name="töe" hidden="1">#REF!</definedName>
    <definedName name="Tonghop" hidden="1">{"'Sheet1'!$L$16"}</definedName>
    <definedName name="tuy" hidden="1">{"'Sheet1'!$L$16"}</definedName>
    <definedName name="twerjhr" hidden="1">{TRUE,TRUE,1.75,2.5,474.75,251.25,FALSE,TRUE,TRUE,TRUE,0,12,#N/A,4,#N/A,15.0222222222222,12.7619047619048,1,FALSE,FALSE,1,TRUE,1,FALSE,100,"'950618.XLS'!R5C18","'950618.XLS'!R5C18",1,FALSE,FALSE,0.393700787401575,0.393700787401575,0.393700787401575,0.393700787401575,2,"","",FALSE,FALSE,FALSE,FALSE,1,100,#N/A,#N/A,FALSE,FALSE,#N/A,#N/A,FALSE,FALSE}</definedName>
    <definedName name="TH" hidden="1">{#N/A,#N/A,FALSE,"Chi tiÆt"}</definedName>
    <definedName name="thang" hidden="1">{"'Sheet1'!$L$16"}</definedName>
    <definedName name="THANH" hidden="1">{"'Sheet1'!$L$16"}</definedName>
    <definedName name="thepdamt3" localSheetId="4" hidden="1">#REF!</definedName>
    <definedName name="thepdamt3" localSheetId="3" hidden="1">#REF!</definedName>
    <definedName name="thepdamt3" localSheetId="7" hidden="1">#REF!</definedName>
    <definedName name="thepdamt3" localSheetId="6" hidden="1">#REF!</definedName>
    <definedName name="thepdamt3" localSheetId="5" hidden="1">#REF!</definedName>
    <definedName name="thepdamt3" hidden="1">#REF!</definedName>
    <definedName name="thepsuonmong" localSheetId="4" hidden="1">#REF!</definedName>
    <definedName name="thepsuonmong" localSheetId="3" hidden="1">#REF!</definedName>
    <definedName name="thepsuonmong" localSheetId="7" hidden="1">#REF!</definedName>
    <definedName name="thepsuonmong" localSheetId="6" hidden="1">#REF!</definedName>
    <definedName name="thepsuonmong" localSheetId="5" hidden="1">#REF!</definedName>
    <definedName name="thepsuonmong" hidden="1">#REF!</definedName>
    <definedName name="THKP7YT" hidden="1">{"'Sheet1'!$L$16"}</definedName>
    <definedName name="thu" hidden="1">{"'Sheet1'!$L$16"}</definedName>
    <definedName name="thvlmoi" hidden="1">{"'Sheet1'!$L$16"}</definedName>
    <definedName name="thvlmoimoi" hidden="1">{"'Sheet1'!$L$16"}</definedName>
    <definedName name="tr" localSheetId="4" hidden="1">#REF!</definedName>
    <definedName name="tr" localSheetId="3" hidden="1">#REF!</definedName>
    <definedName name="tr" localSheetId="7" hidden="1">#REF!</definedName>
    <definedName name="tr" localSheetId="6" hidden="1">#REF!</definedName>
    <definedName name="tr" localSheetId="5" hidden="1">#REF!</definedName>
    <definedName name="tr" hidden="1">#REF!</definedName>
    <definedName name="trong" hidden="1">{"'Sheet1'!$L$16"}</definedName>
    <definedName name="trutriutit" hidden="1">{#N/A,#N/A,FALSE,"속도"}</definedName>
    <definedName name="urreur" hidden="1">{#N/A,#N/A,FALSE,"사업총괄";#N/A,#N/A,FALSE,"장비사업";#N/A,#N/A,FALSE,"철구사업";#N/A,#N/A,FALSE,"준설사업"}</definedName>
    <definedName name="urtureu" hidden="1">{#N/A,#N/A,FALSE,"전력간선"}</definedName>
    <definedName name="urtureuer" hidden="1">{#N/A,#N/A,FALSE,"구조2"}</definedName>
    <definedName name="uru4u4urur" hidden="1">{#N/A,#N/A,FALSE,"배수1"}</definedName>
    <definedName name="utyutru" hidden="1">{#N/A,#N/A,FALSE,"표지";#N/A,#N/A,FALSE,"조직표";#N/A,#N/A,FALSE,"정직원인원";#N/A,#N/A,FALSE,"사업계획";#N/A,#N/A,FALSE,"부동산";#N/A,#N/A,FALSE,"장비현황";#N/A,#N/A,FALSE,"장비가동";#N/A,#N/A,FALSE,"매각장비";#N/A,#N/A,FALSE,"철구제작";#N/A,#N/A,FALSE,"철구수주";#N/A,#N/A,FALSE,"철구시설";#N/A,#N/A,FALSE,"준설장비";#N/A,#N/A,FALSE,"준설수량";#N/A,#N/A,FALSE,"골재인원";#N/A,#N/A,FALSE,"골재손익";#N/A,#N/A,FALSE,"노조현황"}</definedName>
    <definedName name="utrutr" hidden="1">{#N/A,#N/A,FALSE,"배수2"}</definedName>
    <definedName name="ưeawegw" localSheetId="4" hidden="1">#REF!</definedName>
    <definedName name="ưeawegw" localSheetId="3" hidden="1">#REF!</definedName>
    <definedName name="ưeawegw" localSheetId="7" hidden="1">#REF!</definedName>
    <definedName name="ưeawegw" localSheetId="6" hidden="1">#REF!</definedName>
    <definedName name="ưeawegw" localSheetId="5" hidden="1">#REF!</definedName>
    <definedName name="ưeawegw" hidden="1">#REF!</definedName>
    <definedName name="ưegweg" hidden="1">{"'Sheet1'!$L$16"}</definedName>
    <definedName name="ưergasd" localSheetId="4" hidden="1">#REF!</definedName>
    <definedName name="ưergasd" localSheetId="3" hidden="1">#REF!</definedName>
    <definedName name="ưergasd" localSheetId="7" hidden="1">#REF!</definedName>
    <definedName name="ưergasd" localSheetId="6" hidden="1">#REF!</definedName>
    <definedName name="ưergasd" localSheetId="5" hidden="1">#REF!</definedName>
    <definedName name="ưergasd" hidden="1">#REF!</definedName>
    <definedName name="ưergwrgn" hidden="1">{"'Sheet1'!$L$16"}</definedName>
    <definedName name="ưgawegw" localSheetId="4" hidden="1">#REF!</definedName>
    <definedName name="ưgawegw" localSheetId="3" hidden="1">#REF!</definedName>
    <definedName name="ưgawegw" localSheetId="7" hidden="1">#REF!</definedName>
    <definedName name="ưgawegw" localSheetId="6" hidden="1">#REF!</definedName>
    <definedName name="ưgawegw" localSheetId="5" hidden="1">#REF!</definedName>
    <definedName name="ưgawegw" hidden="1">#REF!</definedName>
    <definedName name="V8.Refresh" hidden="1">{"NGUYEN QUI THIEP - Personal View",#N/A,FALSE,"XDCB.HT.FUR."}</definedName>
    <definedName name="VATM" hidden="1">{"'Sheet1'!$L$16"}</definedName>
    <definedName name="VBFBFD" localSheetId="4" hidden="1">#REF!</definedName>
    <definedName name="VBFBFD" localSheetId="3" hidden="1">#REF!</definedName>
    <definedName name="VBFBFD" localSheetId="7" hidden="1">#REF!</definedName>
    <definedName name="VBFBFD" localSheetId="6" hidden="1">#REF!</definedName>
    <definedName name="VBFBFD" localSheetId="5" hidden="1">#REF!</definedName>
    <definedName name="VBFBFD" hidden="1">#REF!</definedName>
    <definedName name="VDVSDB" localSheetId="4" hidden="1">#REF!</definedName>
    <definedName name="VDVSDB" localSheetId="3" hidden="1">#REF!</definedName>
    <definedName name="VDVSDB" localSheetId="7" hidden="1">#REF!</definedName>
    <definedName name="VDVSDB" localSheetId="6" hidden="1">#REF!</definedName>
    <definedName name="VDVSDB" localSheetId="5" hidden="1">#REF!</definedName>
    <definedName name="VDVSDB" hidden="1">#REF!</definedName>
    <definedName name="vp" localSheetId="4" hidden="1">#REF!</definedName>
    <definedName name="vp" localSheetId="3" hidden="1">#REF!</definedName>
    <definedName name="vp" localSheetId="7" hidden="1">#REF!</definedName>
    <definedName name="vp" localSheetId="6" hidden="1">#REF!</definedName>
    <definedName name="vp" localSheetId="5" hidden="1">#REF!</definedName>
    <definedName name="vp" hidden="1">#REF!</definedName>
    <definedName name="wm.조골재1" hidden="1">{#N/A,#N/A,FALSE,"조골재"}</definedName>
    <definedName name="wqe" hidden="1">{"'ELEC'!$A$2:$H$216","'ELEC'!$C$2:$D$2"}</definedName>
    <definedName name="wrn.2번." hidden="1">{#N/A,#N/A,FALSE,"2~8번"}</definedName>
    <definedName name="wrn.97년._.사업계획._.및._.예산지침." hidden="1">{#N/A,#N/A,TRUE,"1";#N/A,#N/A,TRUE,"2";#N/A,#N/A,TRUE,"3";#N/A,#N/A,TRUE,"4";#N/A,#N/A,TRUE,"5";#N/A,#N/A,TRUE,"6";#N/A,#N/A,TRUE,"7"}</definedName>
    <definedName name="wrn.aaa." hidden="1">{#N/A,#N/A,FALSE,"Sheet1";#N/A,#N/A,FALSE,"Sheet1";#N/A,#N/A,FALSE,"Sheet1"}</definedName>
    <definedName name="wrn.BILLS._.OF._.QUANTITY." hidden="1">{#N/A,#N/A,TRUE,"Str.";#N/A,#N/A,TRUE,"Steel &amp; Roof";#N/A,#N/A,TRUE,"Arc.";#N/A,#N/A,TRUE,"Preliminary";#N/A,#N/A,TRUE,"Sum_Prelim"}</definedName>
    <definedName name="wrn.cong." hidden="1">{#N/A,#N/A,FALSE,"Sheet1"}</definedName>
    <definedName name="wrn.chi._.tiÆt." hidden="1">{#N/A,#N/A,FALSE,"Chi tiÆt"}</definedName>
    <definedName name="wrn.mai._.khanh." hidden="1">{"NGUYEN QUI THIEP - Personal View",#N/A,FALSE,"XDCB.HT.FUR."}</definedName>
    <definedName name="wrn.Monthly._.Statement." hidden="1">{#N/A,#N/A,FALSE,"Tabelle2";#N/A,#N/A,FALSE,"Tabelle1"}</definedName>
    <definedName name="wrn.Report." hidden="1">{"Offgrid",#N/A,FALSE,"OFFGRID";"Region",#N/A,FALSE,"REGION";"Offgrid -2",#N/A,FALSE,"OFFGRID";"WTP",#N/A,FALSE,"WTP";"WTP -2",#N/A,FALSE,"WTP";"Project",#N/A,FALSE,"PROJECT";"Summary -2",#N/A,FALSE,"SUMMARY"}</definedName>
    <definedName name="wrn.report1." hidden="1">{#N/A,#N/A,FALSE,"特殊室（ＢＱ表）"}</definedName>
    <definedName name="wrn.Residential." hidden="1">{"ECA Qtrs C",#N/A,TRUE,"ECA_Qtrs_C";"ECA Qtrs D",#N/A,TRUE,"ECA_Qtrs_D";"ECA Qtrs F",#N/A,TRUE,"ECA_Qtrs_F";"ECA Qtrs G",#N/A,TRUE,"ECA_Qtrs_G";"ECA SisterApt",#N/A,TRUE,"ECA_SisterApt";"ECA Nurses",#N/A,TRUE,"ECA_NursesHostel"}</definedName>
    <definedName name="wrn.vd." hidden="1">{#N/A,#N/A,TRUE,"BT M200 da 10x20"}</definedName>
    <definedName name="wrn.건설기계사업소._.상반기보고." hidden="1">{#N/A,#N/A,FALSE,"사업총괄";#N/A,#N/A,FALSE,"장비사업";#N/A,#N/A,FALSE,"철구사업";#N/A,#N/A,FALSE,"준설사업"}</definedName>
    <definedName name="wrn.골재소요량." hidden="1">{#N/A,#N/A,FALSE,"골재소요량";#N/A,#N/A,FALSE,"골재소요량"}</definedName>
    <definedName name="wrn.교육청." hidden="1">{#N/A,#N/A,FALSE,"전력간선"}</definedName>
    <definedName name="wrn.구조2." hidden="1">{#N/A,#N/A,FALSE,"구조2"}</definedName>
    <definedName name="wrn.단가표지." hidden="1">{#N/A,#N/A,FALSE,"단가표지"}</definedName>
    <definedName name="wrn.담배인삼공사._.실행품의." hidden="1">{#N/A,#N/A,FALSE,"품의서";#N/A,#N/A,FALSE,"견적실행대비분석표";#N/A,#N/A,FALSE,"공종별도급대비견적실행";#N/A,#N/A,FALSE,"외주공사 추정금액";#N/A,#N/A,FALSE,"공종별도급대비계약현황";#N/A,#N/A,FALSE,"공종별도급대비견적현황"}</definedName>
    <definedName name="wrn.배수1." hidden="1">{#N/A,#N/A,FALSE,"배수1"}</definedName>
    <definedName name="wrn.배수2." hidden="1">{#N/A,#N/A,FALSE,"배수2"}</definedName>
    <definedName name="wrn.변경예산." hidden="1">{#N/A,#N/A,FALSE,"변경관리예산";#N/A,#N/A,FALSE,"변경장비예산";#N/A,#N/A,FALSE,"변경준설예산";#N/A,#N/A,FALSE,"변경철구예산"}</definedName>
    <definedName name="wrn.부대1." hidden="1">{#N/A,#N/A,FALSE,"부대1"}</definedName>
    <definedName name="wrn.부대2." hidden="1">{#N/A,#N/A,FALSE,"부대2"}</definedName>
    <definedName name="wrn.부산주경기장."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wrn.사업현황." hidden="1">{#N/A,#N/A,FALSE,"표지";#N/A,#N/A,FALSE,"조직표";#N/A,#N/A,FALSE,"정직원인원";#N/A,#N/A,FALSE,"사업계획";#N/A,#N/A,FALSE,"부동산";#N/A,#N/A,FALSE,"장비현황";#N/A,#N/A,FALSE,"장비가동";#N/A,#N/A,FALSE,"매각장비";#N/A,#N/A,FALSE,"철구제작";#N/A,#N/A,FALSE,"철구수주";#N/A,#N/A,FALSE,"철구시설";#N/A,#N/A,FALSE,"준설장비";#N/A,#N/A,FALSE,"준설수량";#N/A,#N/A,FALSE,"골재인원";#N/A,#N/A,FALSE,"골재손익";#N/A,#N/A,FALSE,"노조현황"}</definedName>
    <definedName name="wrn.속도." hidden="1">{#N/A,#N/A,FALSE,"속도"}</definedName>
    <definedName name="wrn.실행품의." hidden="1">{#N/A,#N/A,FALSE,"갑지";#N/A,#N/A,FALSE,"개요";#N/A,#N/A,FALSE,"비목별";#N/A,#N/A,FALSE,"건물별";#N/A,#N/A,FALSE,"기구표";#N/A,#N/A,FALSE,"직원투입"}</definedName>
    <definedName name="wrn.예상손익." hidden="1">{#N/A,#N/A,FALSE,"예상손익";#N/A,#N/A,FALSE,"관리분석";#N/A,#N/A,FALSE,"장비분석";#N/A,#N/A,FALSE,"준설분석";#N/A,#N/A,FALSE,"철구분석"}</definedName>
    <definedName name="wrn.운반시간." hidden="1">{#N/A,#N/A,FALSE,"운반시간"}</definedName>
    <definedName name="wrn.이정표." hidden="1">{#N/A,#N/A,FALSE,"이정표"}</definedName>
    <definedName name="wrn.조골재." hidden="1">{#N/A,#N/A,FALSE,"조골재"}</definedName>
    <definedName name="wrn.진각빌딩." hidden="1">{#N/A,#N/A,FALSE,"품의서";#N/A,#N/A,FALSE,"견적실행대비분석표";#N/A,#N/A,FALSE,"공종별도급대비견적실행";#N/A,#N/A,FALSE,"외주공사 추정금액";#N/A,#N/A,FALSE,"공종별도급대비계약현황"}</definedName>
    <definedName name="wrn.토공1." hidden="1">{#N/A,#N/A,FALSE,"구조1"}</definedName>
    <definedName name="wrn.토공2." hidden="1">{#N/A,#N/A,FALSE,"토공2"}</definedName>
    <definedName name="wrn.통신지." hidden="1">{#N/A,#N/A,FALSE,"기안지";#N/A,#N/A,FALSE,"통신지"}</definedName>
    <definedName name="wrn.포장1." hidden="1">{#N/A,#N/A,FALSE,"포장1";#N/A,#N/A,FALSE,"포장1"}</definedName>
    <definedName name="wrn.포장2." hidden="1">{#N/A,#N/A,FALSE,"포장2"}</definedName>
    <definedName name="wrn.표지." hidden="1">{#N/A,#N/A,FALSE,"표지"}</definedName>
    <definedName name="wrn.표지목차." hidden="1">{#N/A,#N/A,FALSE,"표지목차"}</definedName>
    <definedName name="wrn.혼합골재." hidden="1">{#N/A,#N/A,FALSE,"혼합골재"}</definedName>
    <definedName name="wrnf.report" hidden="1">{"Offgrid",#N/A,FALSE,"OFFGRID";"Region",#N/A,FALSE,"REGION";"Offgrid -2",#N/A,FALSE,"OFFGRID";"WTP",#N/A,FALSE,"WTP";"WTP -2",#N/A,FALSE,"WTP";"Project",#N/A,FALSE,"PROJECT";"Summary -2",#N/A,FALSE,"SUMMARY"}</definedName>
    <definedName name="wvu.박경희." hidden="1">{TRUE,TRUE,1.75,2.5,474.75,251.25,FALSE,TRUE,TRUE,TRUE,0,12,#N/A,4,#N/A,15.0222222222222,12.7619047619048,1,FALSE,FALSE,1,TRUE,1,FALSE,100,"'950618.XLS'!R5C18","'950618.XLS'!R5C18",1,FALSE,FALSE,0.393700787401575,0.393700787401575,0.393700787401575,0.393700787401575,2,"","",FALSE,FALSE,FALSE,FALSE,1,100,#N/A,#N/A,FALSE,FALSE,#N/A,#N/A,FALSE,FALSE}</definedName>
    <definedName name="www" hidden="1">{"ECA Qtrs C",#N/A,TRUE,"ECA_Qtrs_C";"ECA Qtrs D",#N/A,TRUE,"ECA_Qtrs_D";"ECA Qtrs F",#N/A,TRUE,"ECA_Qtrs_F";"ECA Qtrs G",#N/A,TRUE,"ECA_Qtrs_G";"ECA SisterApt",#N/A,TRUE,"ECA_SisterApt";"ECA Nurses",#N/A,TRUE,"ECA_NursesHostel"}</definedName>
    <definedName name="xb" localSheetId="4" hidden="1">#REF!</definedName>
    <definedName name="xb" localSheetId="3" hidden="1">#REF!</definedName>
    <definedName name="xb" localSheetId="7" hidden="1">#REF!</definedName>
    <definedName name="xb" localSheetId="6" hidden="1">#REF!</definedName>
    <definedName name="xb" localSheetId="5" hidden="1">#REF!</definedName>
    <definedName name="xb" hidden="1">#REF!</definedName>
    <definedName name="XDKT" hidden="1">{"NGUYEN QUI THIEP - Personal View",#N/A,FALSE,"XDCB.HT.FUR."}</definedName>
    <definedName name="xoa1" hidden="1">{"'Sheet1'!$L$16"}</definedName>
    <definedName name="xoa2" hidden="1">{#N/A,#N/A,FALSE,"Chi tiÆt"}</definedName>
    <definedName name="xoa3" hidden="1">{"Offgrid",#N/A,FALSE,"OFFGRID";"Region",#N/A,FALSE,"REGION";"Offgrid -2",#N/A,FALSE,"OFFGRID";"WTP",#N/A,FALSE,"WTP";"WTP -2",#N/A,FALSE,"WTP";"Project",#N/A,FALSE,"PROJECT";"Summary -2",#N/A,FALSE,"SUMMARY"}</definedName>
    <definedName name="xoa4" hidden="1">{"Offgrid",#N/A,FALSE,"OFFGRID";"Region",#N/A,FALSE,"REGION";"Offgrid -2",#N/A,FALSE,"OFFGRID";"WTP",#N/A,FALSE,"WTP";"WTP -2",#N/A,FALSE,"WTP";"Project",#N/A,FALSE,"PROJECT";"Summary -2",#N/A,FALSE,"SUMMARY"}</definedName>
    <definedName name="xx" localSheetId="4" hidden="1">#REF!</definedName>
    <definedName name="xx" localSheetId="3" hidden="1">#REF!</definedName>
    <definedName name="xx" localSheetId="7" hidden="1">#REF!</definedName>
    <definedName name="xx" localSheetId="6" hidden="1">#REF!</definedName>
    <definedName name="xx" localSheetId="5" hidden="1">#REF!</definedName>
    <definedName name="xx" hidden="1">#REF!</definedName>
    <definedName name="xxx" localSheetId="4" hidden="1">#REF!</definedName>
    <definedName name="xxx" localSheetId="3" hidden="1">#REF!</definedName>
    <definedName name="xxx" localSheetId="7" hidden="1">#REF!</definedName>
    <definedName name="xxx" localSheetId="6" hidden="1">#REF!</definedName>
    <definedName name="xxx" localSheetId="5" hidden="1">#REF!</definedName>
    <definedName name="xxx" hidden="1">#REF!</definedName>
    <definedName name="y5ey3y33y3" hidden="1">{#N/A,#N/A,FALSE,"Chi tiÆt"}</definedName>
    <definedName name="yeryewy3" hidden="1">{#N/A,#N/A,TRUE,"1";#N/A,#N/A,TRUE,"2";#N/A,#N/A,TRUE,"3";#N/A,#N/A,TRUE,"4";#N/A,#N/A,TRUE,"5";#N/A,#N/A,TRUE,"6";#N/A,#N/A,TRUE,"7"}</definedName>
    <definedName name="yheryey" localSheetId="4" hidden="1">#REF!</definedName>
    <definedName name="yheryey" localSheetId="3" hidden="1">#REF!</definedName>
    <definedName name="yheryey" localSheetId="7" hidden="1">#REF!</definedName>
    <definedName name="yheryey" localSheetId="6" hidden="1">#REF!</definedName>
    <definedName name="yheryey" localSheetId="5" hidden="1">#REF!</definedName>
    <definedName name="yheryey" hidden="1">#REF!</definedName>
    <definedName name="yhetyt" hidden="1">{TRUE,TRUE,1.75,2.5,474.75,251.25,FALSE,TRUE,TRUE,TRUE,0,12,#N/A,4,#N/A,15.0222222222222,12.7619047619048,1,FALSE,FALSE,1,TRUE,1,FALSE,100,"'950618.XLS'!R5C18","'950618.XLS'!R5C18",1,FALSE,FALSE,0.393700787401575,0.393700787401575,0.393700787401575,0.393700787401575,2,"","",FALSE,FALSE,FALSE,FALSE,1,100,#N/A,#N/A,FALSE,FALSE,#N/A,#N/A,FALSE,FALSE}</definedName>
    <definedName name="yuo" localSheetId="4" hidden="1">#REF!</definedName>
    <definedName name="yuo" localSheetId="3" hidden="1">#REF!</definedName>
    <definedName name="yuo" localSheetId="7" hidden="1">#REF!</definedName>
    <definedName name="yuo" localSheetId="6" hidden="1">#REF!</definedName>
    <definedName name="yuo" localSheetId="5" hidden="1">#REF!</definedName>
    <definedName name="yuo" hidden="1">#REF!</definedName>
    <definedName name="っｋ" localSheetId="4" hidden="1">#REF!</definedName>
    <definedName name="っｋ" localSheetId="3" hidden="1">#REF!</definedName>
    <definedName name="っｋ" localSheetId="7" hidden="1">#REF!</definedName>
    <definedName name="っｋ" localSheetId="6" hidden="1">#REF!</definedName>
    <definedName name="っｋ" localSheetId="5" hidden="1">#REF!</definedName>
    <definedName name="っｋ" hidden="1">#REF!</definedName>
    <definedName name="ㄱㅈㅎ" localSheetId="4" hidden="1">#REF!</definedName>
    <definedName name="ㄱㅈㅎ" localSheetId="3" hidden="1">#REF!</definedName>
    <definedName name="ㄱㅈㅎ" localSheetId="7" hidden="1">#REF!</definedName>
    <definedName name="ㄱㅈㅎ" localSheetId="6" hidden="1">#REF!</definedName>
    <definedName name="ㄱㅈㅎ" localSheetId="5" hidden="1">#REF!</definedName>
    <definedName name="ㄱㅈㅎ" hidden="1">#REF!</definedName>
    <definedName name="간접비" hidden="1">{#N/A,#N/A,FALSE,"갑지";#N/A,#N/A,FALSE,"개요";#N/A,#N/A,FALSE,"비목별";#N/A,#N/A,FALSE,"건물별";#N/A,#N/A,FALSE,"기구표";#N/A,#N/A,FALSE,"직원투입"}</definedName>
    <definedName name="간접비1" hidden="1">{#N/A,#N/A,FALSE,"갑지";#N/A,#N/A,FALSE,"개요";#N/A,#N/A,FALSE,"비목별";#N/A,#N/A,FALSE,"건물별";#N/A,#N/A,FALSE,"기구표";#N/A,#N/A,FALSE,"직원투입"}</definedName>
    <definedName name="갑지지" localSheetId="4" hidden="1">#REF!</definedName>
    <definedName name="갑지지" localSheetId="3" hidden="1">#REF!</definedName>
    <definedName name="갑지지" localSheetId="7" hidden="1">#REF!</definedName>
    <definedName name="갑지지" localSheetId="6" hidden="1">#REF!</definedName>
    <definedName name="갑지지" localSheetId="5" hidden="1">#REF!</definedName>
    <definedName name="갑지지" hidden="1">#REF!</definedName>
    <definedName name="건축비목집계" hidden="1">{#N/A,#N/A,FALSE,"표지"}</definedName>
    <definedName name="건축토공" hidden="1">{#N/A,#N/A,FALSE,"기안지";#N/A,#N/A,FALSE,"통신지"}</definedName>
    <definedName name="견적서" hidden="1">{#N/A,#N/A,FALSE,"구조2"}</definedName>
    <definedName name="계측기기"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공공도서"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공공도서1"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공동구토공" hidden="1">{#N/A,#N/A,FALSE,"기안지";#N/A,#N/A,FALSE,"통신지"}</definedName>
    <definedName name="공사비분석" localSheetId="4" hidden="1">#REF!</definedName>
    <definedName name="공사비분석" localSheetId="3" hidden="1">#REF!</definedName>
    <definedName name="공사비분석" localSheetId="7" hidden="1">#REF!</definedName>
    <definedName name="공사비분석" localSheetId="6" hidden="1">#REF!</definedName>
    <definedName name="공사비분석" localSheetId="5" hidden="1">#REF!</definedName>
    <definedName name="공사비분석" hidden="1">#REF!</definedName>
    <definedName name="공종별집계표"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관리비2" hidden="1">{#N/A,#N/A,FALSE,"갑지";#N/A,#N/A,FALSE,"개요";#N/A,#N/A,FALSE,"비목별";#N/A,#N/A,FALSE,"건물별";#N/A,#N/A,FALSE,"기구표";#N/A,#N/A,FALSE,"직원투입"}</definedName>
    <definedName name="근거"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금오관"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ㄴㄱㄹ" localSheetId="4" hidden="1">#REF!</definedName>
    <definedName name="ㄴㄱㄹ" localSheetId="3" hidden="1">#REF!</definedName>
    <definedName name="ㄴㄱㄹ" localSheetId="7" hidden="1">#REF!</definedName>
    <definedName name="ㄴㄱㄹ" localSheetId="6" hidden="1">#REF!</definedName>
    <definedName name="ㄴㄱㄹ" localSheetId="5" hidden="1">#REF!</definedName>
    <definedName name="ㄴㄱㄹ" hidden="1">#REF!</definedName>
    <definedName name="ㄴㅁ" localSheetId="4" hidden="1">#REF!</definedName>
    <definedName name="ㄴㅁ" localSheetId="3" hidden="1">#REF!</definedName>
    <definedName name="ㄴㅁ" localSheetId="7" hidden="1">#REF!</definedName>
    <definedName name="ㄴㅁ" localSheetId="6" hidden="1">#REF!</definedName>
    <definedName name="ㄴㅁ" localSheetId="5" hidden="1">#REF!</definedName>
    <definedName name="ㄴㅁ" hidden="1">#REF!</definedName>
    <definedName name="내역산출근거" hidden="1">{#N/A,#N/A,TRUE,"1";#N/A,#N/A,TRUE,"2";#N/A,#N/A,TRUE,"3";#N/A,#N/A,TRUE,"4";#N/A,#N/A,TRUE,"5";#N/A,#N/A,TRUE,"6";#N/A,#N/A,TRUE,"7"}</definedName>
    <definedName name="노원문화"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노원문화1"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ㄷ"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단ㄱ" hidden="1">{#N/A,#N/A,FALSE,"전력간선"}</definedName>
    <definedName name="대구공항"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독립기초" hidden="1">{#N/A,#N/A,FALSE,"기안지";#N/A,#N/A,FALSE,"통신지"}</definedName>
    <definedName name="독립기초토공수량산출" hidden="1">{#N/A,#N/A,FALSE,"기안지";#N/A,#N/A,FALSE,"통신지"}</definedName>
    <definedName name="동구연숩" hidden="1">{#N/A,#N/A,FALSE,"전력간선"}</definedName>
    <definedName name="동명공통가설관리비"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ㄹㄹㄹ" localSheetId="4" hidden="1">#REF!</definedName>
    <definedName name="ㄹㄹㄹ" localSheetId="3" hidden="1">#REF!</definedName>
    <definedName name="ㄹㄹㄹ" localSheetId="7" hidden="1">#REF!</definedName>
    <definedName name="ㄹㄹㄹ" localSheetId="6" hidden="1">#REF!</definedName>
    <definedName name="ㄹㄹㄹ" localSheetId="5" hidden="1">#REF!</definedName>
    <definedName name="ㄹㄹㄹ" hidden="1">#REF!</definedName>
    <definedName name="ㄹ호" localSheetId="4" hidden="1">#REF!</definedName>
    <definedName name="ㄹ호" localSheetId="3" hidden="1">#REF!</definedName>
    <definedName name="ㄹ호" localSheetId="7" hidden="1">#REF!</definedName>
    <definedName name="ㄹ호" localSheetId="6" hidden="1">#REF!</definedName>
    <definedName name="ㄹ호" localSheetId="5" hidden="1">#REF!</definedName>
    <definedName name="ㄹ호" hidden="1">#REF!</definedName>
    <definedName name="려ㅛㄹ"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ㅁ"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ㅁㄴ" localSheetId="4" hidden="1">#REF!</definedName>
    <definedName name="ㅁㄴ" localSheetId="3" hidden="1">#REF!</definedName>
    <definedName name="ㅁㄴ" localSheetId="7" hidden="1">#REF!</definedName>
    <definedName name="ㅁㄴ" localSheetId="6" hidden="1">#REF!</definedName>
    <definedName name="ㅁㄴ" localSheetId="5" hidden="1">#REF!</definedName>
    <definedName name="ㅁㄴ" hidden="1">#REF!</definedName>
    <definedName name="ㅁㅁㅁ" localSheetId="4" hidden="1">#REF!</definedName>
    <definedName name="ㅁㅁㅁ" localSheetId="3" hidden="1">#REF!</definedName>
    <definedName name="ㅁㅁㅁ" localSheetId="7" hidden="1">#REF!</definedName>
    <definedName name="ㅁㅁㅁ" localSheetId="6" hidden="1">#REF!</definedName>
    <definedName name="ㅁㅁㅁ" localSheetId="5" hidden="1">#REF!</definedName>
    <definedName name="ㅁㅁㅁ" hidden="1">#REF!</definedName>
    <definedName name="ㅁㅁㅁㅁㅁㅁ" localSheetId="4" hidden="1">#REF!</definedName>
    <definedName name="ㅁㅁㅁㅁㅁㅁ" localSheetId="3" hidden="1">#REF!</definedName>
    <definedName name="ㅁㅁㅁㅁㅁㅁ" localSheetId="7" hidden="1">#REF!</definedName>
    <definedName name="ㅁㅁㅁㅁㅁㅁ" localSheetId="6" hidden="1">#REF!</definedName>
    <definedName name="ㅁㅁㅁㅁㅁㅁ" localSheetId="5" hidden="1">#REF!</definedName>
    <definedName name="ㅁㅁㅁㅁㅁㅁ" hidden="1">#REF!</definedName>
    <definedName name="ㅂㅂ" hidden="1">{#N/A,#N/A,FALSE,"표지"}</definedName>
    <definedName name="ㅂㅈ" hidden="1">{#N/A,#N/A,TRUE,"1";#N/A,#N/A,TRUE,"2";#N/A,#N/A,TRUE,"3";#N/A,#N/A,TRUE,"4";#N/A,#N/A,TRUE,"5";#N/A,#N/A,TRUE,"6";#N/A,#N/A,TRUE,"7"}</definedName>
    <definedName name="바붕" hidden="1">{#N/A,#N/A,FALSE,"전력간선"}</definedName>
    <definedName name="보오링그라우팅"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부천상동조경" hidden="1">{#N/A,#N/A,FALSE,"표지"}</definedName>
    <definedName name="분석변경" hidden="1">{#N/A,#N/A,FALSE,"변경관리예산";#N/A,#N/A,FALSE,"변경장비예산";#N/A,#N/A,FALSE,"변경준설예산";#N/A,#N/A,FALSE,"변경철구예산"}</definedName>
    <definedName name="사" localSheetId="4" hidden="1">#REF!</definedName>
    <definedName name="사" localSheetId="3" hidden="1">#REF!</definedName>
    <definedName name="사" localSheetId="7" hidden="1">#REF!</definedName>
    <definedName name="사" localSheetId="6" hidden="1">#REF!</definedName>
    <definedName name="사" localSheetId="5" hidden="1">#REF!</definedName>
    <definedName name="사" hidden="1">#REF!</definedName>
    <definedName name="수" localSheetId="4" hidden="1">#REF!</definedName>
    <definedName name="수" localSheetId="3" hidden="1">#REF!</definedName>
    <definedName name="수" localSheetId="7" hidden="1">#REF!</definedName>
    <definedName name="수" localSheetId="6" hidden="1">#REF!</definedName>
    <definedName name="수" localSheetId="5" hidden="1">#REF!</definedName>
    <definedName name="수" hidden="1">#REF!</definedName>
    <definedName name="수량산출근거" hidden="1">{#N/A,#N/A,FALSE,"표지"}</definedName>
    <definedName name="ㅇㄹ" localSheetId="4" hidden="1">#REF!</definedName>
    <definedName name="ㅇㄹ" localSheetId="3" hidden="1">#REF!</definedName>
    <definedName name="ㅇㄹ" localSheetId="7" hidden="1">#REF!</definedName>
    <definedName name="ㅇㄹ" localSheetId="6" hidden="1">#REF!</definedName>
    <definedName name="ㅇㄹ" localSheetId="5" hidden="1">#REF!</definedName>
    <definedName name="ㅇㄹ" hidden="1">#REF!</definedName>
    <definedName name="ㅇㄹㄹ" localSheetId="4" hidden="1">#REF!</definedName>
    <definedName name="ㅇㄹㄹ" localSheetId="3" hidden="1">#REF!</definedName>
    <definedName name="ㅇㄹㄹ" localSheetId="7" hidden="1">#REF!</definedName>
    <definedName name="ㅇㄹㄹ" localSheetId="6" hidden="1">#REF!</definedName>
    <definedName name="ㅇㄹㄹ" localSheetId="5" hidden="1">#REF!</definedName>
    <definedName name="ㅇㄹㄹ" hidden="1">#REF!</definedName>
    <definedName name="ㅇㄹㅇ" localSheetId="4" hidden="1">#REF!</definedName>
    <definedName name="ㅇㄹㅇ" localSheetId="3" hidden="1">#REF!</definedName>
    <definedName name="ㅇㄹㅇ" localSheetId="7" hidden="1">#REF!</definedName>
    <definedName name="ㅇㄹㅇ" localSheetId="6" hidden="1">#REF!</definedName>
    <definedName name="ㅇㄹㅇ" localSheetId="5" hidden="1">#REF!</definedName>
    <definedName name="ㅇㄹㅇ" hidden="1">#REF!</definedName>
    <definedName name="억이상" hidden="1">{#N/A,#N/A,FALSE,"2~8번"}</definedName>
    <definedName name="업체" localSheetId="4" hidden="1">#REF!</definedName>
    <definedName name="업체" localSheetId="3" hidden="1">#REF!</definedName>
    <definedName name="업체" localSheetId="7" hidden="1">#REF!</definedName>
    <definedName name="업체" localSheetId="6" hidden="1">#REF!</definedName>
    <definedName name="업체" localSheetId="5" hidden="1">#REF!</definedName>
    <definedName name="업체" hidden="1">#REF!</definedName>
    <definedName name="영암실행" hidden="1">{#N/A,#N/A,FALSE,"전력간선"}</definedName>
    <definedName name="오수토공" hidden="1">{#N/A,#N/A,FALSE,"기안지";#N/A,#N/A,FALSE,"통신지"}</definedName>
    <definedName name="원가" hidden="1">{#N/A,#N/A,FALSE,"운반시간"}</definedName>
    <definedName name="의" hidden="1">{#N/A,#N/A,FALSE,"운반시간"}</definedName>
    <definedName name="이천순복음"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인천지검"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전기" hidden="1">{"'Sheet1'!$A$1:$E$59"}</definedName>
    <definedName name="조경공사" hidden="1">{#N/A,#N/A,FALSE,"표지"}</definedName>
    <definedName name="조경사본" hidden="1">{#N/A,#N/A,FALSE,"표지"}</definedName>
    <definedName name="조직"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종합청사"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주차장" hidden="1">{#N/A,#N/A,FALSE,"표지"}</definedName>
    <definedName name="총괄제출2차" localSheetId="4" hidden="1">#REF!</definedName>
    <definedName name="총괄제출2차" localSheetId="3" hidden="1">#REF!</definedName>
    <definedName name="총괄제출2차" localSheetId="7" hidden="1">#REF!</definedName>
    <definedName name="총괄제출2차" localSheetId="6" hidden="1">#REF!</definedName>
    <definedName name="총괄제출2차" localSheetId="5" hidden="1">#REF!</definedName>
    <definedName name="총괄제출2차" hidden="1">#REF!</definedName>
    <definedName name="추가옵션01" localSheetId="4" hidden="1">#REF!</definedName>
    <definedName name="추가옵션01" localSheetId="3" hidden="1">#REF!</definedName>
    <definedName name="추가옵션01" localSheetId="7" hidden="1">#REF!</definedName>
    <definedName name="추가옵션01" localSheetId="6" hidden="1">#REF!</definedName>
    <definedName name="추가옵션01" localSheetId="5" hidden="1">#REF!</definedName>
    <definedName name="추가옵션01" hidden="1">#REF!</definedName>
    <definedName name="토" localSheetId="4" hidden="1">#REF!</definedName>
    <definedName name="토" localSheetId="3" hidden="1">#REF!</definedName>
    <definedName name="토" localSheetId="7" hidden="1">#REF!</definedName>
    <definedName name="토" localSheetId="6" hidden="1">#REF!</definedName>
    <definedName name="토" localSheetId="5" hidden="1">#REF!</definedName>
    <definedName name="토" hidden="1">#REF!</definedName>
    <definedName name="토목설계" hidden="1">{#N/A,#N/A,FALSE,"골재소요량";#N/A,#N/A,FALSE,"골재소요량"}</definedName>
    <definedName name="팔" localSheetId="4" hidden="1">#REF!</definedName>
    <definedName name="팔" localSheetId="3" hidden="1">#REF!</definedName>
    <definedName name="팔" localSheetId="7" hidden="1">#REF!</definedName>
    <definedName name="팔" localSheetId="6" hidden="1">#REF!</definedName>
    <definedName name="팔" localSheetId="5" hidden="1">#REF!</definedName>
    <definedName name="팔" hidden="1">#REF!</definedName>
    <definedName name="평당견적" localSheetId="4" hidden="1">#REF!</definedName>
    <definedName name="평당견적" localSheetId="3" hidden="1">#REF!</definedName>
    <definedName name="평당견적" localSheetId="7" hidden="1">#REF!</definedName>
    <definedName name="평당견적" localSheetId="6" hidden="1">#REF!</definedName>
    <definedName name="평당견적" localSheetId="5" hidden="1">#REF!</definedName>
    <definedName name="평당견적" hidden="1">#REF!</definedName>
    <definedName name="표지" localSheetId="4" hidden="1">#REF!</definedName>
    <definedName name="표지" localSheetId="3" hidden="1">#REF!</definedName>
    <definedName name="표지" localSheetId="7" hidden="1">#REF!</definedName>
    <definedName name="표지" localSheetId="6" hidden="1">#REF!</definedName>
    <definedName name="표지" localSheetId="5" hidden="1">#REF!</definedName>
    <definedName name="표지" hidden="1">#REF!</definedName>
    <definedName name="표지2"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ㅎㄹ오하ㅓ"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하도사"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한" localSheetId="4" hidden="1">#REF!</definedName>
    <definedName name="한" localSheetId="3" hidden="1">#REF!</definedName>
    <definedName name="한" localSheetId="7" hidden="1">#REF!</definedName>
    <definedName name="한" localSheetId="6" hidden="1">#REF!</definedName>
    <definedName name="한" localSheetId="5" hidden="1">#REF!</definedName>
    <definedName name="한" hidden="1">#REF!</definedName>
    <definedName name="ㅜ"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実行" hidden="1">{"'Sheet1'!$L$16"}</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8" i="19" l="1"/>
  <c r="D81" i="14"/>
  <c r="G46" i="19"/>
  <c r="I46" i="19" s="1"/>
  <c r="J46" i="19" s="1"/>
  <c r="I47" i="19"/>
  <c r="J47" i="19" s="1"/>
  <c r="I48" i="19"/>
  <c r="J48" i="19"/>
  <c r="G40" i="19"/>
  <c r="G38" i="19"/>
  <c r="G33" i="19"/>
  <c r="I33" i="19" s="1"/>
  <c r="J33" i="19" s="1"/>
  <c r="I44" i="19"/>
  <c r="J44" i="19" s="1"/>
  <c r="I43" i="19"/>
  <c r="J43" i="19" s="1"/>
  <c r="G42" i="19"/>
  <c r="I42" i="19" s="1"/>
  <c r="J42" i="19" s="1"/>
  <c r="I41" i="19"/>
  <c r="J41" i="19" s="1"/>
  <c r="I40" i="19"/>
  <c r="J40" i="19" s="1"/>
  <c r="I39" i="19"/>
  <c r="J39" i="19" s="1"/>
  <c r="G36" i="19"/>
  <c r="I36" i="19" s="1"/>
  <c r="J36" i="19" s="1"/>
  <c r="I34" i="19"/>
  <c r="J34" i="19" s="1"/>
  <c r="G32" i="19"/>
  <c r="I32" i="19" s="1"/>
  <c r="J32" i="19" s="1"/>
  <c r="G27" i="19"/>
  <c r="G24" i="19"/>
  <c r="I38" i="19" l="1"/>
  <c r="J38" i="19" s="1"/>
  <c r="I37" i="19"/>
  <c r="J37" i="19" s="1"/>
  <c r="G22" i="19"/>
  <c r="G20" i="19"/>
  <c r="I29" i="19"/>
  <c r="J29" i="19" s="1"/>
  <c r="I28" i="19"/>
  <c r="J28" i="19" s="1"/>
  <c r="I27" i="19"/>
  <c r="J27" i="19" s="1"/>
  <c r="I24" i="19"/>
  <c r="J24" i="19" s="1"/>
  <c r="I23" i="19"/>
  <c r="J23" i="19" s="1"/>
  <c r="I22" i="19"/>
  <c r="J22" i="19" s="1"/>
  <c r="I21" i="19"/>
  <c r="J21" i="19" s="1"/>
  <c r="I20" i="19"/>
  <c r="J20" i="19" s="1"/>
  <c r="I19" i="19"/>
  <c r="J19" i="19" s="1"/>
  <c r="G17" i="19"/>
  <c r="I17" i="19" s="1"/>
  <c r="J17" i="19" s="1"/>
  <c r="G16" i="19"/>
  <c r="I16" i="19" s="1"/>
  <c r="J16" i="19" s="1"/>
  <c r="G14" i="19"/>
  <c r="I14" i="19" s="1"/>
  <c r="J14" i="19" s="1"/>
  <c r="G12" i="19"/>
  <c r="G11" i="19"/>
  <c r="I13" i="19"/>
  <c r="J13" i="19" s="1"/>
  <c r="I12" i="19"/>
  <c r="J12" i="19" s="1"/>
  <c r="I11" i="19"/>
  <c r="J11" i="19" s="1"/>
  <c r="O8" i="19"/>
  <c r="I30" i="19" l="1"/>
  <c r="J30" i="19" s="1"/>
  <c r="G18" i="19"/>
  <c r="G25" i="19" l="1"/>
  <c r="I25" i="19" s="1"/>
  <c r="J25" i="19" s="1"/>
  <c r="I18" i="19"/>
  <c r="J18" i="19" s="1"/>
  <c r="D79" i="14"/>
  <c r="I9" i="19" l="1"/>
  <c r="J9" i="19" s="1"/>
  <c r="N69" i="13"/>
  <c r="I69" i="13"/>
  <c r="H69" i="13"/>
  <c r="M69" i="13" s="1"/>
  <c r="G69" i="13"/>
  <c r="F69" i="13"/>
  <c r="E69" i="13"/>
  <c r="I100" i="18"/>
  <c r="J100" i="18" s="1"/>
  <c r="E99" i="18"/>
  <c r="I99" i="18" s="1"/>
  <c r="J99" i="18" s="1"/>
  <c r="I98" i="18"/>
  <c r="J98" i="18" s="1"/>
  <c r="E97" i="18"/>
  <c r="I97" i="18" s="1"/>
  <c r="J97" i="18" s="1"/>
  <c r="I96" i="18"/>
  <c r="J96" i="18" s="1"/>
  <c r="E95" i="18"/>
  <c r="I94" i="18"/>
  <c r="J94" i="18" s="1"/>
  <c r="E93" i="18"/>
  <c r="I95" i="18"/>
  <c r="J95" i="18" s="1"/>
  <c r="I93" i="18"/>
  <c r="J93" i="18" s="1"/>
  <c r="I92" i="18"/>
  <c r="J92" i="18" s="1"/>
  <c r="E91" i="18"/>
  <c r="I91" i="18" s="1"/>
  <c r="J91" i="18" s="1"/>
  <c r="G89" i="18"/>
  <c r="E89" i="18"/>
  <c r="I89" i="18" s="1"/>
  <c r="J89" i="18" s="1"/>
  <c r="G88" i="18"/>
  <c r="G86" i="18"/>
  <c r="I88" i="18"/>
  <c r="J88" i="18" s="1"/>
  <c r="E87" i="18"/>
  <c r="I87" i="18" s="1"/>
  <c r="J87" i="18" s="1"/>
  <c r="I86" i="18"/>
  <c r="J86" i="18" s="1"/>
  <c r="G85" i="18"/>
  <c r="I85" i="18" s="1"/>
  <c r="J85" i="18" s="1"/>
  <c r="I84" i="18"/>
  <c r="J84" i="18"/>
  <c r="E82" i="18"/>
  <c r="I82" i="18" s="1"/>
  <c r="J82" i="18" s="1"/>
  <c r="E81" i="18"/>
  <c r="I81" i="18" s="1"/>
  <c r="J81" i="18" s="1"/>
  <c r="I83" i="18"/>
  <c r="J83" i="18" s="1"/>
  <c r="G80" i="18"/>
  <c r="E79" i="18"/>
  <c r="G77" i="18"/>
  <c r="I77" i="18" s="1"/>
  <c r="J77" i="18" s="1"/>
  <c r="G78" i="18"/>
  <c r="I78" i="18" s="1"/>
  <c r="J78" i="18" s="1"/>
  <c r="I80" i="18"/>
  <c r="J80" i="18" s="1"/>
  <c r="I79" i="18"/>
  <c r="J79" i="18" s="1"/>
  <c r="E75" i="18"/>
  <c r="I75" i="18" s="1"/>
  <c r="J75" i="18" s="1"/>
  <c r="G74" i="18"/>
  <c r="E74" i="18"/>
  <c r="G72" i="18"/>
  <c r="E72" i="18"/>
  <c r="G71" i="18"/>
  <c r="I76" i="18"/>
  <c r="J76" i="18" s="1"/>
  <c r="G70" i="18"/>
  <c r="E70" i="18"/>
  <c r="I70" i="18" s="1"/>
  <c r="J70" i="18" s="1"/>
  <c r="E69" i="18"/>
  <c r="I69" i="18" s="1"/>
  <c r="J69" i="18" s="1"/>
  <c r="I68" i="18"/>
  <c r="J68" i="18" s="1"/>
  <c r="G67" i="18"/>
  <c r="E67" i="18"/>
  <c r="I67" i="18" s="1"/>
  <c r="J67" i="18" s="1"/>
  <c r="E71" i="18"/>
  <c r="I71" i="18" s="1"/>
  <c r="J71" i="18" s="1"/>
  <c r="G66" i="18"/>
  <c r="I66" i="18" s="1"/>
  <c r="J66" i="18" s="1"/>
  <c r="E66" i="18"/>
  <c r="E65" i="18"/>
  <c r="I65" i="18"/>
  <c r="J65" i="18" s="1"/>
  <c r="G63" i="18"/>
  <c r="I64" i="18"/>
  <c r="J64" i="18" s="1"/>
  <c r="E63" i="18"/>
  <c r="I63" i="18" s="1"/>
  <c r="J63" i="18" s="1"/>
  <c r="G61" i="18"/>
  <c r="I61" i="18" s="1"/>
  <c r="J61" i="18" s="1"/>
  <c r="G60" i="18"/>
  <c r="I60" i="18" s="1"/>
  <c r="J60" i="18" s="1"/>
  <c r="I59" i="18"/>
  <c r="J59" i="18" s="1"/>
  <c r="E58" i="18"/>
  <c r="I58" i="18" s="1"/>
  <c r="J58" i="18" s="1"/>
  <c r="I57" i="18"/>
  <c r="J57" i="18" s="1"/>
  <c r="I56" i="18"/>
  <c r="J56" i="18" s="1"/>
  <c r="G55" i="18"/>
  <c r="E55" i="18"/>
  <c r="G54" i="18"/>
  <c r="I54" i="18" s="1"/>
  <c r="J54" i="18" s="1"/>
  <c r="G53" i="18"/>
  <c r="I53" i="18" s="1"/>
  <c r="J53" i="18" s="1"/>
  <c r="E51" i="18"/>
  <c r="I51" i="18" s="1"/>
  <c r="J51" i="18" s="1"/>
  <c r="I52" i="18"/>
  <c r="J52" i="18" s="1"/>
  <c r="I50" i="18"/>
  <c r="J50" i="18" s="1"/>
  <c r="I49" i="18"/>
  <c r="J49" i="18" s="1"/>
  <c r="G48" i="18"/>
  <c r="E48" i="18"/>
  <c r="I48" i="18" s="1"/>
  <c r="J48" i="18" s="1"/>
  <c r="G32" i="18"/>
  <c r="I32" i="18" s="1"/>
  <c r="J32" i="18" s="1"/>
  <c r="E31" i="18"/>
  <c r="I31" i="18" s="1"/>
  <c r="J31" i="18" s="1"/>
  <c r="I30" i="18"/>
  <c r="J30" i="18" s="1"/>
  <c r="I29" i="18"/>
  <c r="J29" i="18" s="1"/>
  <c r="E28" i="18"/>
  <c r="I28" i="18" s="1"/>
  <c r="J28" i="18" s="1"/>
  <c r="G27" i="18"/>
  <c r="I27" i="18" s="1"/>
  <c r="J27" i="18" s="1"/>
  <c r="E26" i="18"/>
  <c r="I26" i="18" s="1"/>
  <c r="J26" i="18" s="1"/>
  <c r="I25" i="18"/>
  <c r="J25" i="18" s="1"/>
  <c r="I24" i="18"/>
  <c r="J24" i="18" s="1"/>
  <c r="E23" i="18"/>
  <c r="I23" i="18" s="1"/>
  <c r="J23" i="18" s="1"/>
  <c r="J69" i="13" l="1"/>
  <c r="K69" i="13"/>
  <c r="D69" i="13" s="1"/>
  <c r="D74" i="14" s="1"/>
  <c r="L69" i="13"/>
  <c r="I74" i="18"/>
  <c r="J74" i="18" s="1"/>
  <c r="I73" i="18" s="1"/>
  <c r="I90" i="18"/>
  <c r="J90" i="18" s="1"/>
  <c r="J73" i="18"/>
  <c r="I72" i="18"/>
  <c r="J72" i="18" s="1"/>
  <c r="I62" i="18" s="1"/>
  <c r="I55" i="18"/>
  <c r="J55" i="18" s="1"/>
  <c r="J62" i="18"/>
  <c r="G47" i="18"/>
  <c r="E47" i="18"/>
  <c r="G21" i="18"/>
  <c r="G42" i="18"/>
  <c r="E42" i="18"/>
  <c r="G39" i="18"/>
  <c r="E39" i="18"/>
  <c r="E38" i="18"/>
  <c r="I38" i="18" s="1"/>
  <c r="J38" i="18" s="1"/>
  <c r="G36" i="18"/>
  <c r="E36" i="18"/>
  <c r="I36" i="18" s="1"/>
  <c r="J36" i="18" s="1"/>
  <c r="I46" i="18"/>
  <c r="J46" i="18" s="1"/>
  <c r="I45" i="18"/>
  <c r="J45" i="18" s="1"/>
  <c r="I44" i="18"/>
  <c r="J44" i="18" s="1"/>
  <c r="I43" i="18"/>
  <c r="J43" i="18" s="1"/>
  <c r="I42" i="18"/>
  <c r="J42" i="18" s="1"/>
  <c r="I41" i="18"/>
  <c r="J41" i="18" s="1"/>
  <c r="I40" i="18"/>
  <c r="J40" i="18" s="1"/>
  <c r="I39" i="18"/>
  <c r="J39" i="18" s="1"/>
  <c r="I37" i="18"/>
  <c r="J37" i="18" s="1"/>
  <c r="E35" i="18"/>
  <c r="I35" i="18" s="1"/>
  <c r="J35" i="18" s="1"/>
  <c r="G34" i="18"/>
  <c r="E34" i="18"/>
  <c r="G22" i="18"/>
  <c r="E22" i="18"/>
  <c r="E21" i="18"/>
  <c r="G20" i="18"/>
  <c r="E20" i="18"/>
  <c r="G16" i="18"/>
  <c r="E16" i="18"/>
  <c r="E14" i="18"/>
  <c r="G14" i="18"/>
  <c r="G12" i="18"/>
  <c r="G10" i="18"/>
  <c r="E12" i="18"/>
  <c r="I19" i="18"/>
  <c r="J19" i="18" s="1"/>
  <c r="I18" i="18"/>
  <c r="J18" i="18" s="1"/>
  <c r="I17" i="18"/>
  <c r="J17" i="18" s="1"/>
  <c r="I15" i="18"/>
  <c r="J15" i="18" s="1"/>
  <c r="I13" i="18"/>
  <c r="J13" i="18" s="1"/>
  <c r="I12" i="18"/>
  <c r="J12" i="18" s="1"/>
  <c r="I11" i="18"/>
  <c r="J11" i="18" s="1"/>
  <c r="E10" i="18"/>
  <c r="O8" i="18"/>
  <c r="I21" i="18" l="1"/>
  <c r="J21" i="18" s="1"/>
  <c r="I47" i="18"/>
  <c r="J47" i="18" s="1"/>
  <c r="I34" i="18"/>
  <c r="J34" i="18" s="1"/>
  <c r="I33" i="18" s="1"/>
  <c r="J33" i="18" s="1"/>
  <c r="I16" i="18"/>
  <c r="J16" i="18" s="1"/>
  <c r="I22" i="18"/>
  <c r="J22" i="18" s="1"/>
  <c r="I20" i="18"/>
  <c r="J20" i="18" s="1"/>
  <c r="I10" i="18"/>
  <c r="J10" i="18" s="1"/>
  <c r="I14" i="18"/>
  <c r="J14" i="18" s="1"/>
  <c r="D80" i="14"/>
  <c r="D74" i="13"/>
  <c r="I9" i="18" l="1"/>
  <c r="J9" i="18" s="1"/>
  <c r="F27" i="17"/>
  <c r="F26" i="17"/>
  <c r="F24" i="17"/>
  <c r="F22" i="17"/>
  <c r="I22" i="17" s="1"/>
  <c r="J22" i="17" s="1"/>
  <c r="F20" i="17"/>
  <c r="I20" i="17" s="1"/>
  <c r="J20" i="17" s="1"/>
  <c r="F18" i="17"/>
  <c r="I18" i="17" s="1"/>
  <c r="J18" i="17" s="1"/>
  <c r="F16" i="17"/>
  <c r="F15" i="17"/>
  <c r="I15" i="17" s="1"/>
  <c r="J15" i="17" s="1"/>
  <c r="F13" i="17"/>
  <c r="I13" i="17"/>
  <c r="J13" i="17" s="1"/>
  <c r="F12" i="17"/>
  <c r="I12" i="17" s="1"/>
  <c r="J12" i="17" s="1"/>
  <c r="J32" i="17"/>
  <c r="I27" i="17"/>
  <c r="J27" i="17" s="1"/>
  <c r="I26" i="17"/>
  <c r="J26" i="17" s="1"/>
  <c r="I24" i="17"/>
  <c r="J24" i="17" s="1"/>
  <c r="I16" i="17"/>
  <c r="J16" i="17" s="1"/>
  <c r="O8" i="17"/>
  <c r="F68" i="16"/>
  <c r="G67" i="16"/>
  <c r="E67" i="16"/>
  <c r="E68" i="16" s="1"/>
  <c r="I68" i="16" s="1"/>
  <c r="J68" i="16" s="1"/>
  <c r="I69" i="16"/>
  <c r="J69" i="16" s="1"/>
  <c r="I66" i="16"/>
  <c r="J66" i="16" s="1"/>
  <c r="G65" i="16"/>
  <c r="I65" i="16" s="1"/>
  <c r="J65" i="16" s="1"/>
  <c r="G64" i="16"/>
  <c r="F63" i="16"/>
  <c r="G62" i="16"/>
  <c r="E62" i="16"/>
  <c r="E63" i="16" s="1"/>
  <c r="I63" i="16" s="1"/>
  <c r="J63" i="16" s="1"/>
  <c r="I61" i="16"/>
  <c r="J61" i="16" s="1"/>
  <c r="G60" i="16"/>
  <c r="I60" i="16" s="1"/>
  <c r="J60" i="16" s="1"/>
  <c r="G59" i="16"/>
  <c r="I59" i="16" s="1"/>
  <c r="I64" i="16"/>
  <c r="J64" i="16" s="1"/>
  <c r="F57" i="16"/>
  <c r="G56" i="16"/>
  <c r="E56" i="16"/>
  <c r="E57" i="16" s="1"/>
  <c r="I57" i="16" s="1"/>
  <c r="J57" i="16" s="1"/>
  <c r="I55" i="16"/>
  <c r="J55" i="16" s="1"/>
  <c r="G54" i="16"/>
  <c r="I54" i="16" s="1"/>
  <c r="J54" i="16" s="1"/>
  <c r="G53" i="16"/>
  <c r="I53" i="16" s="1"/>
  <c r="J53" i="16" s="1"/>
  <c r="F51" i="16"/>
  <c r="G50" i="16"/>
  <c r="E50" i="16"/>
  <c r="E51" i="16" s="1"/>
  <c r="I49" i="16"/>
  <c r="J49" i="16" s="1"/>
  <c r="G48" i="16"/>
  <c r="I48" i="16"/>
  <c r="J48" i="16" s="1"/>
  <c r="G47" i="16"/>
  <c r="I47" i="16" s="1"/>
  <c r="J47" i="16" s="1"/>
  <c r="E44" i="16"/>
  <c r="E45" i="16" s="1"/>
  <c r="F45" i="16"/>
  <c r="G44" i="16"/>
  <c r="I43" i="16"/>
  <c r="J43" i="16" s="1"/>
  <c r="G42" i="16"/>
  <c r="I42" i="16" s="1"/>
  <c r="J42" i="16" s="1"/>
  <c r="G41" i="16"/>
  <c r="I41" i="16" s="1"/>
  <c r="E39" i="16"/>
  <c r="F39" i="16"/>
  <c r="G38" i="16"/>
  <c r="E38" i="16"/>
  <c r="I38" i="16" s="1"/>
  <c r="J38" i="16" s="1"/>
  <c r="I37" i="16"/>
  <c r="J37" i="16" s="1"/>
  <c r="G36" i="16"/>
  <c r="I36" i="16" s="1"/>
  <c r="J36" i="16" s="1"/>
  <c r="G35" i="16"/>
  <c r="E27" i="16"/>
  <c r="I26" i="16"/>
  <c r="J26" i="16" s="1"/>
  <c r="G29" i="16"/>
  <c r="G30" i="16" s="1"/>
  <c r="G23" i="16"/>
  <c r="G24" i="16" s="1"/>
  <c r="F33" i="16"/>
  <c r="E33" i="16"/>
  <c r="G32" i="16"/>
  <c r="E32" i="16"/>
  <c r="I31" i="16"/>
  <c r="J31" i="16" s="1"/>
  <c r="H30" i="16"/>
  <c r="F28" i="16"/>
  <c r="E28" i="16"/>
  <c r="G27" i="16"/>
  <c r="I25" i="16"/>
  <c r="J25" i="16" s="1"/>
  <c r="H24" i="16"/>
  <c r="F21" i="16"/>
  <c r="E21" i="16"/>
  <c r="G20" i="16"/>
  <c r="E20" i="16"/>
  <c r="I19" i="16"/>
  <c r="J19" i="16" s="1"/>
  <c r="H18" i="16"/>
  <c r="G17" i="16"/>
  <c r="G18" i="16" s="1"/>
  <c r="F16" i="16"/>
  <c r="E16" i="16"/>
  <c r="G15" i="16"/>
  <c r="E15" i="16"/>
  <c r="I15" i="16" s="1"/>
  <c r="J15" i="16" s="1"/>
  <c r="I14" i="16"/>
  <c r="J14" i="16" s="1"/>
  <c r="H13" i="16"/>
  <c r="G12" i="16"/>
  <c r="I12" i="16" s="1"/>
  <c r="J12" i="16" s="1"/>
  <c r="J74" i="16"/>
  <c r="O8" i="16"/>
  <c r="I11" i="17" l="1"/>
  <c r="J11" i="17" s="1"/>
  <c r="I21" i="17"/>
  <c r="J21" i="17" s="1"/>
  <c r="I19" i="17"/>
  <c r="J19" i="17" s="1"/>
  <c r="I23" i="17"/>
  <c r="J23" i="17" s="1"/>
  <c r="I17" i="17"/>
  <c r="J17" i="17" s="1"/>
  <c r="I25" i="17"/>
  <c r="J25" i="17" s="1"/>
  <c r="I44" i="16"/>
  <c r="J44" i="16" s="1"/>
  <c r="I67" i="16"/>
  <c r="J67" i="16" s="1"/>
  <c r="I16" i="16"/>
  <c r="J16" i="16" s="1"/>
  <c r="I51" i="16"/>
  <c r="J51" i="16" s="1"/>
  <c r="I28" i="16"/>
  <c r="J28" i="16" s="1"/>
  <c r="I62" i="16"/>
  <c r="J62" i="16" s="1"/>
  <c r="I45" i="16"/>
  <c r="J45" i="16" s="1"/>
  <c r="I33" i="16"/>
  <c r="J33" i="16" s="1"/>
  <c r="I18" i="16"/>
  <c r="J18" i="16" s="1"/>
  <c r="I56" i="16"/>
  <c r="J56" i="16" s="1"/>
  <c r="I52" i="16" s="1"/>
  <c r="J52" i="16" s="1"/>
  <c r="I32" i="16"/>
  <c r="J32" i="16" s="1"/>
  <c r="I24" i="16"/>
  <c r="J24" i="16" s="1"/>
  <c r="I50" i="16"/>
  <c r="J50" i="16" s="1"/>
  <c r="I46" i="16" s="1"/>
  <c r="J46" i="16" s="1"/>
  <c r="I39" i="16"/>
  <c r="J39" i="16" s="1"/>
  <c r="I21" i="16"/>
  <c r="J21" i="16" s="1"/>
  <c r="I35" i="16"/>
  <c r="J35" i="16" s="1"/>
  <c r="I34" i="16" s="1"/>
  <c r="J34" i="16" s="1"/>
  <c r="I17" i="16"/>
  <c r="J17" i="16" s="1"/>
  <c r="I30" i="16"/>
  <c r="J30" i="16" s="1"/>
  <c r="I27" i="16"/>
  <c r="J27" i="16" s="1"/>
  <c r="I29" i="16"/>
  <c r="J29" i="16" s="1"/>
  <c r="I23" i="16"/>
  <c r="J23" i="16" s="1"/>
  <c r="G13" i="16"/>
  <c r="I13" i="16" s="1"/>
  <c r="J13" i="16" s="1"/>
  <c r="I20" i="16"/>
  <c r="J20" i="16" s="1"/>
  <c r="J41" i="16"/>
  <c r="J59" i="16"/>
  <c r="I245" i="15"/>
  <c r="J245" i="15" s="1"/>
  <c r="I244" i="15"/>
  <c r="J244" i="15" s="1"/>
  <c r="I243" i="15"/>
  <c r="J243" i="15" s="1"/>
  <c r="E242" i="15"/>
  <c r="I242" i="15" s="1"/>
  <c r="J242" i="15" s="1"/>
  <c r="I241" i="15"/>
  <c r="J241" i="15" s="1"/>
  <c r="I240" i="15"/>
  <c r="J240" i="15" s="1"/>
  <c r="E239" i="15"/>
  <c r="I239" i="15" s="1"/>
  <c r="J239" i="15" s="1"/>
  <c r="E238" i="15"/>
  <c r="I238" i="15" s="1"/>
  <c r="J238" i="15" s="1"/>
  <c r="I237" i="15"/>
  <c r="J237" i="15" s="1"/>
  <c r="I236" i="15"/>
  <c r="E234" i="15"/>
  <c r="I234" i="15" s="1"/>
  <c r="J234" i="15" s="1"/>
  <c r="I233" i="15"/>
  <c r="J233" i="15" s="1"/>
  <c r="I232" i="15"/>
  <c r="J232" i="15" s="1"/>
  <c r="I231" i="15"/>
  <c r="J231" i="15" s="1"/>
  <c r="E230" i="15"/>
  <c r="I230" i="15" s="1"/>
  <c r="E228" i="15"/>
  <c r="I228" i="15" s="1"/>
  <c r="J228" i="15" s="1"/>
  <c r="I227" i="15"/>
  <c r="J227" i="15" s="1"/>
  <c r="E226" i="15"/>
  <c r="I226" i="15" s="1"/>
  <c r="E224" i="15"/>
  <c r="I224" i="15" s="1"/>
  <c r="J224" i="15" s="1"/>
  <c r="E223" i="15"/>
  <c r="I223" i="15" s="1"/>
  <c r="J223" i="15" s="1"/>
  <c r="I222" i="15"/>
  <c r="J222" i="15" s="1"/>
  <c r="E221" i="15"/>
  <c r="I221" i="15" s="1"/>
  <c r="E219" i="15"/>
  <c r="I219" i="15" s="1"/>
  <c r="J219" i="15" s="1"/>
  <c r="E218" i="15"/>
  <c r="I218" i="15" s="1"/>
  <c r="J218" i="15" s="1"/>
  <c r="I217" i="15"/>
  <c r="J217" i="15" s="1"/>
  <c r="E216" i="15"/>
  <c r="I216" i="15" s="1"/>
  <c r="E214" i="15"/>
  <c r="I214" i="15" s="1"/>
  <c r="J214" i="15" s="1"/>
  <c r="E213" i="15"/>
  <c r="I213" i="15" s="1"/>
  <c r="I212" i="15"/>
  <c r="J212" i="15" s="1"/>
  <c r="I211" i="15"/>
  <c r="J211" i="15" s="1"/>
  <c r="I209" i="15"/>
  <c r="J209" i="15" s="1"/>
  <c r="E208" i="15"/>
  <c r="I208" i="15" s="1"/>
  <c r="J208" i="15" s="1"/>
  <c r="I207" i="15"/>
  <c r="J207" i="15" s="1"/>
  <c r="E206" i="15"/>
  <c r="I206" i="15" s="1"/>
  <c r="J206" i="15" s="1"/>
  <c r="I205" i="15"/>
  <c r="J205" i="15" s="1"/>
  <c r="E204" i="15"/>
  <c r="I204" i="15" s="1"/>
  <c r="I155" i="15"/>
  <c r="J155" i="15" s="1"/>
  <c r="I154" i="15"/>
  <c r="J154" i="15" s="1"/>
  <c r="I153" i="15"/>
  <c r="J153" i="15" s="1"/>
  <c r="E152" i="15"/>
  <c r="I152" i="15" s="1"/>
  <c r="J152" i="15" s="1"/>
  <c r="I151" i="15"/>
  <c r="J151" i="15" s="1"/>
  <c r="I150" i="15"/>
  <c r="J150" i="15" s="1"/>
  <c r="E149" i="15"/>
  <c r="I149" i="15" s="1"/>
  <c r="J149" i="15" s="1"/>
  <c r="E148" i="15"/>
  <c r="I148" i="15" s="1"/>
  <c r="J148" i="15" s="1"/>
  <c r="I147" i="15"/>
  <c r="J147" i="15" s="1"/>
  <c r="I146" i="15"/>
  <c r="E144" i="15"/>
  <c r="I144" i="15" s="1"/>
  <c r="J144" i="15" s="1"/>
  <c r="I143" i="15"/>
  <c r="J143" i="15" s="1"/>
  <c r="I142" i="15"/>
  <c r="J142" i="15" s="1"/>
  <c r="I141" i="15"/>
  <c r="J141" i="15" s="1"/>
  <c r="E140" i="15"/>
  <c r="I140" i="15" s="1"/>
  <c r="E138" i="15"/>
  <c r="I138" i="15" s="1"/>
  <c r="J138" i="15" s="1"/>
  <c r="I137" i="15"/>
  <c r="J137" i="15" s="1"/>
  <c r="E136" i="15"/>
  <c r="I136" i="15" s="1"/>
  <c r="E134" i="15"/>
  <c r="I134" i="15" s="1"/>
  <c r="J134" i="15" s="1"/>
  <c r="E133" i="15"/>
  <c r="I133" i="15" s="1"/>
  <c r="J133" i="15" s="1"/>
  <c r="I132" i="15"/>
  <c r="J132" i="15" s="1"/>
  <c r="E131" i="15"/>
  <c r="I131" i="15" s="1"/>
  <c r="E129" i="15"/>
  <c r="I129" i="15" s="1"/>
  <c r="J129" i="15" s="1"/>
  <c r="E128" i="15"/>
  <c r="I128" i="15" s="1"/>
  <c r="J128" i="15" s="1"/>
  <c r="I127" i="15"/>
  <c r="J127" i="15" s="1"/>
  <c r="E126" i="15"/>
  <c r="I126" i="15" s="1"/>
  <c r="E124" i="15"/>
  <c r="I124" i="15" s="1"/>
  <c r="J124" i="15" s="1"/>
  <c r="E123" i="15"/>
  <c r="I123" i="15" s="1"/>
  <c r="I122" i="15"/>
  <c r="J122" i="15" s="1"/>
  <c r="I121" i="15"/>
  <c r="J121" i="15" s="1"/>
  <c r="I119" i="15"/>
  <c r="J119" i="15" s="1"/>
  <c r="E118" i="15"/>
  <c r="I118" i="15" s="1"/>
  <c r="J118" i="15" s="1"/>
  <c r="I117" i="15"/>
  <c r="J117" i="15" s="1"/>
  <c r="E116" i="15"/>
  <c r="I116" i="15" s="1"/>
  <c r="J116" i="15" s="1"/>
  <c r="I115" i="15"/>
  <c r="J115" i="15" s="1"/>
  <c r="E114" i="15"/>
  <c r="I114" i="15" s="1"/>
  <c r="I14" i="17" l="1"/>
  <c r="J14" i="17" s="1"/>
  <c r="I10" i="17"/>
  <c r="I58" i="16"/>
  <c r="I40" i="16"/>
  <c r="J40" i="16" s="1"/>
  <c r="J58" i="16"/>
  <c r="I11" i="16"/>
  <c r="J11" i="16" s="1"/>
  <c r="I22" i="16"/>
  <c r="J22" i="16" s="1"/>
  <c r="I235" i="15"/>
  <c r="J235" i="15" s="1"/>
  <c r="I145" i="15"/>
  <c r="J145" i="15" s="1"/>
  <c r="J221" i="15"/>
  <c r="I220" i="15"/>
  <c r="J220" i="15" s="1"/>
  <c r="I225" i="15"/>
  <c r="J225" i="15" s="1"/>
  <c r="J226" i="15"/>
  <c r="J230" i="15"/>
  <c r="I229" i="15"/>
  <c r="J229" i="15" s="1"/>
  <c r="J204" i="15"/>
  <c r="I203" i="15"/>
  <c r="J203" i="15" s="1"/>
  <c r="J213" i="15"/>
  <c r="I210" i="15"/>
  <c r="J210" i="15" s="1"/>
  <c r="I215" i="15"/>
  <c r="J215" i="15" s="1"/>
  <c r="J216" i="15"/>
  <c r="J236" i="15"/>
  <c r="J131" i="15"/>
  <c r="I130" i="15"/>
  <c r="J130" i="15" s="1"/>
  <c r="I135" i="15"/>
  <c r="J135" i="15" s="1"/>
  <c r="J136" i="15"/>
  <c r="J140" i="15"/>
  <c r="I139" i="15"/>
  <c r="J139" i="15" s="1"/>
  <c r="J114" i="15"/>
  <c r="I113" i="15"/>
  <c r="J113" i="15" s="1"/>
  <c r="J123" i="15"/>
  <c r="I120" i="15"/>
  <c r="J120" i="15" s="1"/>
  <c r="I125" i="15"/>
  <c r="J125" i="15" s="1"/>
  <c r="J126" i="15"/>
  <c r="J146" i="15"/>
  <c r="I9" i="17" l="1"/>
  <c r="J10" i="17"/>
  <c r="I73" i="13" s="1"/>
  <c r="I10" i="16"/>
  <c r="J10" i="16" s="1"/>
  <c r="I71" i="13" s="1"/>
  <c r="I72" i="13" s="1"/>
  <c r="I202" i="15"/>
  <c r="J202" i="15" s="1"/>
  <c r="M66" i="13" s="1"/>
  <c r="I112" i="15"/>
  <c r="J112" i="15" s="1"/>
  <c r="K66" i="13" s="1"/>
  <c r="J9" i="17" l="1"/>
  <c r="H73" i="13" s="1"/>
  <c r="I31" i="17"/>
  <c r="J31" i="17" s="1"/>
  <c r="M73" i="13" s="1"/>
  <c r="I30" i="17"/>
  <c r="J30" i="17" s="1"/>
  <c r="L73" i="13" s="1"/>
  <c r="I29" i="17"/>
  <c r="J29" i="17" s="1"/>
  <c r="K73" i="13" s="1"/>
  <c r="I28" i="17"/>
  <c r="J28" i="17" s="1"/>
  <c r="J73" i="13" s="1"/>
  <c r="I9" i="16"/>
  <c r="D73" i="13" l="1"/>
  <c r="D78" i="14" s="1"/>
  <c r="J9" i="16"/>
  <c r="H71" i="13" s="1"/>
  <c r="H72" i="13" s="1"/>
  <c r="I71" i="16"/>
  <c r="J71" i="16" s="1"/>
  <c r="K71" i="13" s="1"/>
  <c r="K72" i="13" s="1"/>
  <c r="I73" i="16"/>
  <c r="J73" i="16" s="1"/>
  <c r="M71" i="13" s="1"/>
  <c r="M72" i="13" s="1"/>
  <c r="I70" i="16"/>
  <c r="J70" i="16" s="1"/>
  <c r="J71" i="13" s="1"/>
  <c r="J72" i="13" s="1"/>
  <c r="I72" i="16"/>
  <c r="J72" i="16" s="1"/>
  <c r="L71" i="13" s="1"/>
  <c r="L72" i="13" s="1"/>
  <c r="D71" i="13" l="1"/>
  <c r="D72" i="13" l="1"/>
  <c r="D76" i="14"/>
  <c r="D77" i="14" s="1"/>
  <c r="E296" i="15"/>
  <c r="I296" i="15" s="1"/>
  <c r="J296" i="15" s="1"/>
  <c r="I297" i="15"/>
  <c r="J297" i="15" s="1"/>
  <c r="E295" i="15"/>
  <c r="I295" i="15" s="1"/>
  <c r="J295" i="15" s="1"/>
  <c r="I294" i="15"/>
  <c r="J294" i="15" s="1"/>
  <c r="E289" i="15"/>
  <c r="E287" i="15"/>
  <c r="I287" i="15"/>
  <c r="J287" i="15" s="1"/>
  <c r="E283" i="15"/>
  <c r="E282" i="15"/>
  <c r="I293" i="15"/>
  <c r="J293" i="15" s="1"/>
  <c r="I292" i="15"/>
  <c r="J292" i="15" s="1"/>
  <c r="I291" i="15"/>
  <c r="J291" i="15" s="1"/>
  <c r="I290" i="15"/>
  <c r="J290" i="15" s="1"/>
  <c r="I289" i="15"/>
  <c r="J289" i="15" s="1"/>
  <c r="I288" i="15"/>
  <c r="J288" i="15" s="1"/>
  <c r="I286" i="15"/>
  <c r="J286" i="15" s="1"/>
  <c r="I285" i="15"/>
  <c r="J285" i="15" s="1"/>
  <c r="I284" i="15"/>
  <c r="J284" i="15" s="1"/>
  <c r="I283" i="15"/>
  <c r="J283" i="15" s="1"/>
  <c r="I282" i="15"/>
  <c r="J282" i="15" s="1"/>
  <c r="I281" i="15"/>
  <c r="J281" i="15" s="1"/>
  <c r="I280" i="15"/>
  <c r="J280" i="15" s="1"/>
  <c r="I279" i="15"/>
  <c r="J279" i="15" s="1"/>
  <c r="I278" i="15"/>
  <c r="J278" i="15" s="1"/>
  <c r="E277" i="15"/>
  <c r="I277" i="15" s="1"/>
  <c r="J277" i="15" s="1"/>
  <c r="I276" i="15"/>
  <c r="J276" i="15" s="1"/>
  <c r="I275" i="15"/>
  <c r="J275" i="15" s="1"/>
  <c r="I274" i="15"/>
  <c r="J274" i="15" s="1"/>
  <c r="I273" i="15"/>
  <c r="J273" i="15" s="1"/>
  <c r="E272" i="15"/>
  <c r="I272" i="15" s="1"/>
  <c r="J272" i="15" s="1"/>
  <c r="E269" i="15"/>
  <c r="I269" i="15" s="1"/>
  <c r="J269" i="15" s="1"/>
  <c r="I268" i="15"/>
  <c r="J268" i="15" s="1"/>
  <c r="I267" i="15"/>
  <c r="J267" i="15" s="1"/>
  <c r="E266" i="15"/>
  <c r="I266" i="15" s="1"/>
  <c r="J266" i="15" s="1"/>
  <c r="I265" i="15"/>
  <c r="J265" i="15" s="1"/>
  <c r="I271" i="15"/>
  <c r="J271" i="15" s="1"/>
  <c r="I270" i="15"/>
  <c r="J270" i="15" s="1"/>
  <c r="I264" i="15"/>
  <c r="J264" i="15" s="1"/>
  <c r="E263" i="15"/>
  <c r="I263" i="15" s="1"/>
  <c r="J263" i="15" s="1"/>
  <c r="I262" i="15"/>
  <c r="J262" i="15" s="1"/>
  <c r="I261" i="15"/>
  <c r="J261" i="15" s="1"/>
  <c r="E260" i="15"/>
  <c r="I260" i="15" s="1"/>
  <c r="J260" i="15" s="1"/>
  <c r="I259" i="15"/>
  <c r="J259" i="15" s="1"/>
  <c r="E258" i="15"/>
  <c r="I258" i="15" s="1"/>
  <c r="J258" i="15" s="1"/>
  <c r="E256" i="15"/>
  <c r="I256" i="15"/>
  <c r="J256" i="15" s="1"/>
  <c r="E254" i="15"/>
  <c r="I254" i="15" s="1"/>
  <c r="J254" i="15" s="1"/>
  <c r="E252" i="15"/>
  <c r="I252" i="15" s="1"/>
  <c r="J252" i="15" s="1"/>
  <c r="I257" i="15"/>
  <c r="J257" i="15" s="1"/>
  <c r="I255" i="15"/>
  <c r="J255" i="15" s="1"/>
  <c r="I253" i="15"/>
  <c r="J253" i="15" s="1"/>
  <c r="I251" i="15"/>
  <c r="J251" i="15" s="1"/>
  <c r="I250" i="15"/>
  <c r="J250" i="15" s="1"/>
  <c r="E249" i="15"/>
  <c r="I249" i="15" s="1"/>
  <c r="J249" i="15" s="1"/>
  <c r="I248" i="15" l="1"/>
  <c r="J248" i="15" s="1"/>
  <c r="G66" i="13" s="1"/>
  <c r="I200" i="15"/>
  <c r="J200" i="15" s="1"/>
  <c r="I199" i="15"/>
  <c r="J199" i="15" s="1"/>
  <c r="I198" i="15"/>
  <c r="J198" i="15" s="1"/>
  <c r="E197" i="15"/>
  <c r="I197" i="15" s="1"/>
  <c r="J197" i="15" s="1"/>
  <c r="I196" i="15"/>
  <c r="J196" i="15" s="1"/>
  <c r="I195" i="15"/>
  <c r="J195" i="15" s="1"/>
  <c r="E194" i="15"/>
  <c r="I194" i="15" s="1"/>
  <c r="J194" i="15" s="1"/>
  <c r="E193" i="15"/>
  <c r="I193" i="15" s="1"/>
  <c r="J193" i="15" s="1"/>
  <c r="I192" i="15"/>
  <c r="J192" i="15" s="1"/>
  <c r="I191" i="15"/>
  <c r="E189" i="15"/>
  <c r="I189" i="15" s="1"/>
  <c r="J189" i="15" s="1"/>
  <c r="I188" i="15"/>
  <c r="J188" i="15" s="1"/>
  <c r="I187" i="15"/>
  <c r="J187" i="15" s="1"/>
  <c r="I186" i="15"/>
  <c r="J186" i="15" s="1"/>
  <c r="E185" i="15"/>
  <c r="I185" i="15" s="1"/>
  <c r="E183" i="15"/>
  <c r="I183" i="15" s="1"/>
  <c r="J183" i="15" s="1"/>
  <c r="I182" i="15"/>
  <c r="J182" i="15" s="1"/>
  <c r="E181" i="15"/>
  <c r="I181" i="15" s="1"/>
  <c r="E179" i="15"/>
  <c r="I179" i="15" s="1"/>
  <c r="J179" i="15" s="1"/>
  <c r="E178" i="15"/>
  <c r="I178" i="15" s="1"/>
  <c r="J178" i="15" s="1"/>
  <c r="I177" i="15"/>
  <c r="J177" i="15" s="1"/>
  <c r="E176" i="15"/>
  <c r="I176" i="15" s="1"/>
  <c r="E174" i="15"/>
  <c r="I174" i="15" s="1"/>
  <c r="J174" i="15" s="1"/>
  <c r="E173" i="15"/>
  <c r="I173" i="15" s="1"/>
  <c r="J173" i="15" s="1"/>
  <c r="I172" i="15"/>
  <c r="J172" i="15" s="1"/>
  <c r="E171" i="15"/>
  <c r="I171" i="15" s="1"/>
  <c r="E169" i="15"/>
  <c r="I169" i="15" s="1"/>
  <c r="J169" i="15" s="1"/>
  <c r="E168" i="15"/>
  <c r="I168" i="15" s="1"/>
  <c r="I167" i="15"/>
  <c r="J167" i="15" s="1"/>
  <c r="I166" i="15"/>
  <c r="J166" i="15" s="1"/>
  <c r="I164" i="15"/>
  <c r="J164" i="15" s="1"/>
  <c r="E163" i="15"/>
  <c r="I163" i="15" s="1"/>
  <c r="J163" i="15" s="1"/>
  <c r="I162" i="15"/>
  <c r="J162" i="15" s="1"/>
  <c r="E161" i="15"/>
  <c r="I161" i="15" s="1"/>
  <c r="J161" i="15" s="1"/>
  <c r="I160" i="15"/>
  <c r="J160" i="15" s="1"/>
  <c r="E159" i="15"/>
  <c r="I159" i="15" s="1"/>
  <c r="I110" i="15"/>
  <c r="J110" i="15" s="1"/>
  <c r="I109" i="15"/>
  <c r="J109" i="15" s="1"/>
  <c r="I108" i="15"/>
  <c r="J108" i="15" s="1"/>
  <c r="E107" i="15"/>
  <c r="I107" i="15" s="1"/>
  <c r="J107" i="15" s="1"/>
  <c r="I106" i="15"/>
  <c r="J106" i="15" s="1"/>
  <c r="I105" i="15"/>
  <c r="J105" i="15" s="1"/>
  <c r="E104" i="15"/>
  <c r="I104" i="15" s="1"/>
  <c r="J104" i="15" s="1"/>
  <c r="E103" i="15"/>
  <c r="I103" i="15" s="1"/>
  <c r="J103" i="15" s="1"/>
  <c r="I102" i="15"/>
  <c r="J102" i="15" s="1"/>
  <c r="I101" i="15"/>
  <c r="E99" i="15"/>
  <c r="I99" i="15" s="1"/>
  <c r="J99" i="15" s="1"/>
  <c r="I98" i="15"/>
  <c r="J98" i="15" s="1"/>
  <c r="I97" i="15"/>
  <c r="J97" i="15" s="1"/>
  <c r="I96" i="15"/>
  <c r="J96" i="15" s="1"/>
  <c r="E95" i="15"/>
  <c r="I95" i="15" s="1"/>
  <c r="E93" i="15"/>
  <c r="I93" i="15" s="1"/>
  <c r="J93" i="15" s="1"/>
  <c r="I92" i="15"/>
  <c r="J92" i="15" s="1"/>
  <c r="E91" i="15"/>
  <c r="I91" i="15" s="1"/>
  <c r="E89" i="15"/>
  <c r="I89" i="15" s="1"/>
  <c r="J89" i="15" s="1"/>
  <c r="E88" i="15"/>
  <c r="I88" i="15" s="1"/>
  <c r="J88" i="15" s="1"/>
  <c r="I87" i="15"/>
  <c r="J87" i="15" s="1"/>
  <c r="E86" i="15"/>
  <c r="I86" i="15" s="1"/>
  <c r="E84" i="15"/>
  <c r="I84" i="15" s="1"/>
  <c r="J84" i="15" s="1"/>
  <c r="I83" i="15"/>
  <c r="J83" i="15" s="1"/>
  <c r="E82" i="15"/>
  <c r="I82" i="15" s="1"/>
  <c r="J82" i="15" s="1"/>
  <c r="I81" i="15"/>
  <c r="J81" i="15" s="1"/>
  <c r="E80" i="15"/>
  <c r="I80" i="15" s="1"/>
  <c r="E78" i="15"/>
  <c r="I78" i="15" s="1"/>
  <c r="J78" i="15" s="1"/>
  <c r="E77" i="15"/>
  <c r="I77" i="15" s="1"/>
  <c r="J77" i="15" s="1"/>
  <c r="I76" i="15"/>
  <c r="J76" i="15" s="1"/>
  <c r="E75" i="15"/>
  <c r="I75" i="15" s="1"/>
  <c r="E73" i="15"/>
  <c r="I73" i="15" s="1"/>
  <c r="J73" i="15" s="1"/>
  <c r="E72" i="15"/>
  <c r="I72" i="15" s="1"/>
  <c r="I71" i="15"/>
  <c r="J71" i="15" s="1"/>
  <c r="I70" i="15"/>
  <c r="J70" i="15" s="1"/>
  <c r="I68" i="15"/>
  <c r="J68" i="15" s="1"/>
  <c r="E67" i="15"/>
  <c r="I67" i="15" s="1"/>
  <c r="J67" i="15" s="1"/>
  <c r="I66" i="15"/>
  <c r="J66" i="15" s="1"/>
  <c r="E65" i="15"/>
  <c r="I65" i="15" s="1"/>
  <c r="J65" i="15" s="1"/>
  <c r="I64" i="15"/>
  <c r="J64" i="15" s="1"/>
  <c r="E63" i="15"/>
  <c r="I63" i="15" s="1"/>
  <c r="J60" i="15"/>
  <c r="I59" i="15"/>
  <c r="J59" i="15" s="1"/>
  <c r="I58" i="15"/>
  <c r="J58" i="15" s="1"/>
  <c r="I57" i="15"/>
  <c r="J57" i="15" s="1"/>
  <c r="E56" i="15"/>
  <c r="I56" i="15" s="1"/>
  <c r="J56" i="15" s="1"/>
  <c r="I55" i="15"/>
  <c r="J55" i="15" s="1"/>
  <c r="I54" i="15"/>
  <c r="J54" i="15" s="1"/>
  <c r="E53" i="15"/>
  <c r="I53" i="15" s="1"/>
  <c r="J53" i="15" s="1"/>
  <c r="E52" i="15"/>
  <c r="I52" i="15" s="1"/>
  <c r="J52" i="15" s="1"/>
  <c r="I51" i="15"/>
  <c r="J51" i="15"/>
  <c r="E48" i="15"/>
  <c r="I48" i="15" s="1"/>
  <c r="J48" i="15" s="1"/>
  <c r="I47" i="15"/>
  <c r="J47" i="15" s="1"/>
  <c r="I45" i="15"/>
  <c r="J45" i="15" s="1"/>
  <c r="E44" i="15"/>
  <c r="I44" i="15"/>
  <c r="J44" i="15" s="1"/>
  <c r="E42" i="15"/>
  <c r="I42" i="15" s="1"/>
  <c r="J42" i="15" s="1"/>
  <c r="I41" i="15"/>
  <c r="J41" i="15" s="1"/>
  <c r="E40" i="15"/>
  <c r="I40" i="15" s="1"/>
  <c r="J40" i="15" s="1"/>
  <c r="E38" i="15"/>
  <c r="I38" i="15" s="1"/>
  <c r="J38" i="15" s="1"/>
  <c r="E37" i="15"/>
  <c r="I37" i="15" s="1"/>
  <c r="J37" i="15" s="1"/>
  <c r="I36" i="15"/>
  <c r="J36" i="15" s="1"/>
  <c r="E35" i="15"/>
  <c r="I35" i="15" s="1"/>
  <c r="J35" i="15" s="1"/>
  <c r="E33" i="15"/>
  <c r="I33" i="15" s="1"/>
  <c r="J33" i="15" s="1"/>
  <c r="I32" i="15"/>
  <c r="J32" i="15" s="1"/>
  <c r="E31" i="15"/>
  <c r="I31" i="15" s="1"/>
  <c r="J31" i="15" s="1"/>
  <c r="I30" i="15"/>
  <c r="J30" i="15" s="1"/>
  <c r="E29" i="15"/>
  <c r="I29" i="15" s="1"/>
  <c r="J29" i="15" s="1"/>
  <c r="E27" i="15"/>
  <c r="I27" i="15" s="1"/>
  <c r="J27" i="15" s="1"/>
  <c r="E26" i="15"/>
  <c r="I26" i="15" s="1"/>
  <c r="J26" i="15" s="1"/>
  <c r="I25" i="15"/>
  <c r="J25" i="15" s="1"/>
  <c r="E24" i="15"/>
  <c r="I24" i="15" s="1"/>
  <c r="E22" i="15"/>
  <c r="I22" i="15" s="1"/>
  <c r="J22" i="15" s="1"/>
  <c r="E21" i="15"/>
  <c r="I20" i="15"/>
  <c r="J20" i="15" s="1"/>
  <c r="I21" i="15"/>
  <c r="J21" i="15" s="1"/>
  <c r="I19" i="15"/>
  <c r="J19" i="15" s="1"/>
  <c r="E16" i="15"/>
  <c r="I16" i="15" s="1"/>
  <c r="J16" i="15" s="1"/>
  <c r="I15" i="15"/>
  <c r="J15" i="15" s="1"/>
  <c r="E12" i="15"/>
  <c r="I12" i="15" s="1"/>
  <c r="J12" i="15" s="1"/>
  <c r="E14" i="15"/>
  <c r="I14" i="15" s="1"/>
  <c r="J14" i="15" s="1"/>
  <c r="I13" i="15"/>
  <c r="J13" i="15" s="1"/>
  <c r="I17" i="15"/>
  <c r="J17" i="15" s="1"/>
  <c r="I46" i="15"/>
  <c r="J46" i="15" s="1"/>
  <c r="I50" i="15"/>
  <c r="J50" i="15" s="1"/>
  <c r="O8" i="15"/>
  <c r="I419" i="12"/>
  <c r="J419" i="12" s="1"/>
  <c r="I414" i="12"/>
  <c r="J414" i="12" s="1"/>
  <c r="I413" i="12"/>
  <c r="J413" i="12" s="1"/>
  <c r="I412" i="12"/>
  <c r="J412" i="12" s="1"/>
  <c r="I411" i="12"/>
  <c r="J411" i="12" s="1"/>
  <c r="I410" i="12"/>
  <c r="J410" i="12" s="1"/>
  <c r="I409" i="12"/>
  <c r="J409" i="12" s="1"/>
  <c r="E408" i="12"/>
  <c r="I408" i="12" s="1"/>
  <c r="J408" i="12" s="1"/>
  <c r="I407" i="12"/>
  <c r="J407" i="12" s="1"/>
  <c r="E406" i="12"/>
  <c r="I398" i="12"/>
  <c r="J398" i="12" s="1"/>
  <c r="I404" i="12"/>
  <c r="J404" i="12" s="1"/>
  <c r="E403" i="12"/>
  <c r="I402" i="12"/>
  <c r="J402" i="12" s="1"/>
  <c r="I401" i="12"/>
  <c r="J401" i="12" s="1"/>
  <c r="I400" i="12"/>
  <c r="J400" i="12" s="1"/>
  <c r="E399" i="12"/>
  <c r="I399" i="12" s="1"/>
  <c r="J399" i="12" s="1"/>
  <c r="I397" i="12"/>
  <c r="J397" i="12" s="1"/>
  <c r="E396" i="12"/>
  <c r="I396" i="12" s="1"/>
  <c r="I406" i="12"/>
  <c r="J406" i="12" s="1"/>
  <c r="I405" i="12"/>
  <c r="J405" i="12" s="1"/>
  <c r="I403" i="12"/>
  <c r="J403" i="12" s="1"/>
  <c r="I418" i="12"/>
  <c r="J418" i="12" s="1"/>
  <c r="E417" i="12"/>
  <c r="I417" i="12" s="1"/>
  <c r="J417" i="12" s="1"/>
  <c r="E416" i="12"/>
  <c r="I416" i="12" s="1"/>
  <c r="I394" i="12"/>
  <c r="J394" i="12" s="1"/>
  <c r="I393" i="12"/>
  <c r="J393" i="12" s="1"/>
  <c r="I392" i="12"/>
  <c r="J392" i="12" s="1"/>
  <c r="I391" i="12"/>
  <c r="J391" i="12" s="1"/>
  <c r="I390" i="12"/>
  <c r="J390" i="12" s="1"/>
  <c r="E389" i="12"/>
  <c r="I389" i="12" s="1"/>
  <c r="J389" i="12" s="1"/>
  <c r="I388" i="12"/>
  <c r="J388" i="12" s="1"/>
  <c r="E387" i="12"/>
  <c r="I387" i="12" s="1"/>
  <c r="J387" i="12" s="1"/>
  <c r="I386" i="12"/>
  <c r="J386" i="12" s="1"/>
  <c r="I385" i="12"/>
  <c r="J385" i="12" s="1"/>
  <c r="E384" i="12"/>
  <c r="I384" i="12" s="1"/>
  <c r="I382" i="12"/>
  <c r="J382" i="12" s="1"/>
  <c r="I381" i="12"/>
  <c r="J381" i="12" s="1"/>
  <c r="I380" i="12"/>
  <c r="J380" i="12" s="1"/>
  <c r="I379" i="12"/>
  <c r="J379" i="12" s="1"/>
  <c r="E378" i="12"/>
  <c r="I378" i="12" s="1"/>
  <c r="J378" i="12" s="1"/>
  <c r="I377" i="12"/>
  <c r="J377" i="12" s="1"/>
  <c r="E376" i="12"/>
  <c r="I376" i="12" s="1"/>
  <c r="I374" i="12"/>
  <c r="J374" i="12" s="1"/>
  <c r="I373" i="12"/>
  <c r="J373" i="12" s="1"/>
  <c r="I372" i="12"/>
  <c r="J372" i="12" s="1"/>
  <c r="I371" i="12"/>
  <c r="J371" i="12" s="1"/>
  <c r="E370" i="12"/>
  <c r="I370" i="12" s="1"/>
  <c r="J370" i="12" s="1"/>
  <c r="I369" i="12"/>
  <c r="J369" i="12" s="1"/>
  <c r="I368" i="12"/>
  <c r="J368" i="12" s="1"/>
  <c r="E367" i="12"/>
  <c r="I367" i="12" s="1"/>
  <c r="J367" i="12" s="1"/>
  <c r="I366" i="12"/>
  <c r="J366" i="12" s="1"/>
  <c r="E365" i="12"/>
  <c r="I365" i="12" s="1"/>
  <c r="I363" i="12"/>
  <c r="J363" i="12" s="1"/>
  <c r="I362" i="12"/>
  <c r="J362" i="12" s="1"/>
  <c r="I361" i="12"/>
  <c r="J361" i="12" s="1"/>
  <c r="I360" i="12"/>
  <c r="J360" i="12" s="1"/>
  <c r="E359" i="12"/>
  <c r="I359" i="12" s="1"/>
  <c r="J359" i="12" s="1"/>
  <c r="I358" i="12"/>
  <c r="J358" i="12" s="1"/>
  <c r="I357" i="12"/>
  <c r="J357" i="12" s="1"/>
  <c r="E356" i="12"/>
  <c r="I356" i="12" s="1"/>
  <c r="J356" i="12" s="1"/>
  <c r="I355" i="12"/>
  <c r="J355" i="12" s="1"/>
  <c r="I354" i="12"/>
  <c r="J354" i="12" s="1"/>
  <c r="E353" i="12"/>
  <c r="I353" i="12" s="1"/>
  <c r="I351" i="12"/>
  <c r="J351" i="12" s="1"/>
  <c r="I350" i="12"/>
  <c r="J350" i="12" s="1"/>
  <c r="I349" i="12"/>
  <c r="J349" i="12" s="1"/>
  <c r="I348" i="12"/>
  <c r="J348" i="12" s="1"/>
  <c r="I347" i="12"/>
  <c r="J347" i="12" s="1"/>
  <c r="E346" i="12"/>
  <c r="I346" i="12" s="1"/>
  <c r="J346" i="12" s="1"/>
  <c r="G345" i="12"/>
  <c r="I345" i="12" s="1"/>
  <c r="J345" i="12" s="1"/>
  <c r="I344" i="12"/>
  <c r="J344" i="12" s="1"/>
  <c r="I343" i="12"/>
  <c r="J343" i="12" s="1"/>
  <c r="E342" i="12"/>
  <c r="I342" i="12" s="1"/>
  <c r="J342" i="12" s="1"/>
  <c r="I341" i="12"/>
  <c r="J341" i="12" s="1"/>
  <c r="E340" i="12"/>
  <c r="I340" i="12" s="1"/>
  <c r="I338" i="12"/>
  <c r="J338" i="12" s="1"/>
  <c r="I337" i="12"/>
  <c r="J337" i="12" s="1"/>
  <c r="I336" i="12"/>
  <c r="J336" i="12" s="1"/>
  <c r="I335" i="12"/>
  <c r="J335" i="12" s="1"/>
  <c r="I334" i="12"/>
  <c r="J334" i="12" s="1"/>
  <c r="E333" i="12"/>
  <c r="I333" i="12" s="1"/>
  <c r="J333" i="12" s="1"/>
  <c r="I332" i="12"/>
  <c r="J332" i="12" s="1"/>
  <c r="I331" i="12"/>
  <c r="J331" i="12" s="1"/>
  <c r="E330" i="12"/>
  <c r="I330" i="12" s="1"/>
  <c r="J330" i="12" s="1"/>
  <c r="I329" i="12"/>
  <c r="J329" i="12" s="1"/>
  <c r="E328" i="12"/>
  <c r="I328" i="12" s="1"/>
  <c r="I325" i="12"/>
  <c r="J325" i="12" s="1"/>
  <c r="E324" i="12"/>
  <c r="I324" i="12" s="1"/>
  <c r="J324" i="12" s="1"/>
  <c r="E323" i="12"/>
  <c r="I323" i="12" s="1"/>
  <c r="I321" i="12"/>
  <c r="J321" i="12" s="1"/>
  <c r="I320" i="12"/>
  <c r="J320" i="12" s="1"/>
  <c r="I319" i="12"/>
  <c r="J319" i="12" s="1"/>
  <c r="I318" i="12"/>
  <c r="J318" i="12" s="1"/>
  <c r="I317" i="12"/>
  <c r="J317" i="12" s="1"/>
  <c r="E316" i="12"/>
  <c r="I316" i="12" s="1"/>
  <c r="J316" i="12" s="1"/>
  <c r="I315" i="12"/>
  <c r="J315" i="12" s="1"/>
  <c r="E314" i="12"/>
  <c r="I314" i="12" s="1"/>
  <c r="J314" i="12" s="1"/>
  <c r="I313" i="12"/>
  <c r="J313" i="12" s="1"/>
  <c r="I312" i="12"/>
  <c r="J312" i="12" s="1"/>
  <c r="E311" i="12"/>
  <c r="I311" i="12" s="1"/>
  <c r="I309" i="12"/>
  <c r="J309" i="12" s="1"/>
  <c r="I308" i="12"/>
  <c r="J308" i="12" s="1"/>
  <c r="I307" i="12"/>
  <c r="J307" i="12" s="1"/>
  <c r="I306" i="12"/>
  <c r="J306" i="12" s="1"/>
  <c r="E305" i="12"/>
  <c r="I305" i="12" s="1"/>
  <c r="J305" i="12" s="1"/>
  <c r="I304" i="12"/>
  <c r="J304" i="12" s="1"/>
  <c r="E303" i="12"/>
  <c r="I303" i="12" s="1"/>
  <c r="I301" i="12"/>
  <c r="J301" i="12" s="1"/>
  <c r="I300" i="12"/>
  <c r="J300" i="12" s="1"/>
  <c r="I299" i="12"/>
  <c r="J299" i="12" s="1"/>
  <c r="I298" i="12"/>
  <c r="J298" i="12" s="1"/>
  <c r="E297" i="12"/>
  <c r="I297" i="12" s="1"/>
  <c r="J297" i="12" s="1"/>
  <c r="I296" i="12"/>
  <c r="J296" i="12" s="1"/>
  <c r="I295" i="12"/>
  <c r="J295" i="12" s="1"/>
  <c r="E294" i="12"/>
  <c r="I294" i="12" s="1"/>
  <c r="J294" i="12" s="1"/>
  <c r="I293" i="12"/>
  <c r="J293" i="12" s="1"/>
  <c r="E292" i="12"/>
  <c r="I292" i="12" s="1"/>
  <c r="I290" i="12"/>
  <c r="J290" i="12" s="1"/>
  <c r="I289" i="12"/>
  <c r="J289" i="12" s="1"/>
  <c r="I288" i="12"/>
  <c r="J288" i="12" s="1"/>
  <c r="I287" i="12"/>
  <c r="J287" i="12" s="1"/>
  <c r="E286" i="12"/>
  <c r="I286" i="12" s="1"/>
  <c r="J286" i="12" s="1"/>
  <c r="I285" i="12"/>
  <c r="J285" i="12" s="1"/>
  <c r="I284" i="12"/>
  <c r="J284" i="12" s="1"/>
  <c r="E283" i="12"/>
  <c r="I283" i="12" s="1"/>
  <c r="J283" i="12" s="1"/>
  <c r="I282" i="12"/>
  <c r="J282" i="12" s="1"/>
  <c r="I281" i="12"/>
  <c r="J281" i="12" s="1"/>
  <c r="E280" i="12"/>
  <c r="I280" i="12" s="1"/>
  <c r="I278" i="12"/>
  <c r="J278" i="12" s="1"/>
  <c r="I277" i="12"/>
  <c r="J277" i="12" s="1"/>
  <c r="I276" i="12"/>
  <c r="J276" i="12" s="1"/>
  <c r="I275" i="12"/>
  <c r="J275" i="12" s="1"/>
  <c r="I274" i="12"/>
  <c r="J274" i="12" s="1"/>
  <c r="E273" i="12"/>
  <c r="I273" i="12" s="1"/>
  <c r="J273" i="12" s="1"/>
  <c r="G272" i="12"/>
  <c r="I272" i="12" s="1"/>
  <c r="J272" i="12" s="1"/>
  <c r="I271" i="12"/>
  <c r="J271" i="12" s="1"/>
  <c r="I270" i="12"/>
  <c r="J270" i="12" s="1"/>
  <c r="E269" i="12"/>
  <c r="I269" i="12" s="1"/>
  <c r="J269" i="12" s="1"/>
  <c r="I268" i="12"/>
  <c r="J268" i="12" s="1"/>
  <c r="E267" i="12"/>
  <c r="I267" i="12" s="1"/>
  <c r="I265" i="12"/>
  <c r="J265" i="12" s="1"/>
  <c r="I264" i="12"/>
  <c r="J264" i="12" s="1"/>
  <c r="I263" i="12"/>
  <c r="J263" i="12" s="1"/>
  <c r="I262" i="12"/>
  <c r="J262" i="12" s="1"/>
  <c r="I261" i="12"/>
  <c r="J261" i="12" s="1"/>
  <c r="E260" i="12"/>
  <c r="I260" i="12" s="1"/>
  <c r="J260" i="12" s="1"/>
  <c r="I259" i="12"/>
  <c r="J259" i="12" s="1"/>
  <c r="I258" i="12"/>
  <c r="J258" i="12" s="1"/>
  <c r="E257" i="12"/>
  <c r="I257" i="12" s="1"/>
  <c r="J257" i="12" s="1"/>
  <c r="I256" i="12"/>
  <c r="J256" i="12" s="1"/>
  <c r="E255" i="12"/>
  <c r="I255" i="12" s="1"/>
  <c r="I252" i="12"/>
  <c r="J252" i="12" s="1"/>
  <c r="E251" i="12"/>
  <c r="I251" i="12" s="1"/>
  <c r="J251" i="12" s="1"/>
  <c r="E250" i="12"/>
  <c r="I250" i="12" s="1"/>
  <c r="I248" i="12"/>
  <c r="J248" i="12" s="1"/>
  <c r="I247" i="12"/>
  <c r="J247" i="12" s="1"/>
  <c r="I246" i="12"/>
  <c r="J246" i="12" s="1"/>
  <c r="I245" i="12"/>
  <c r="J245" i="12" s="1"/>
  <c r="I244" i="12"/>
  <c r="J244" i="12" s="1"/>
  <c r="E243" i="12"/>
  <c r="I243" i="12" s="1"/>
  <c r="J243" i="12" s="1"/>
  <c r="I242" i="12"/>
  <c r="J242" i="12" s="1"/>
  <c r="E241" i="12"/>
  <c r="I241" i="12" s="1"/>
  <c r="J241" i="12" s="1"/>
  <c r="I240" i="12"/>
  <c r="J240" i="12" s="1"/>
  <c r="I239" i="12"/>
  <c r="J239" i="12" s="1"/>
  <c r="E238" i="12"/>
  <c r="I238" i="12" s="1"/>
  <c r="I236" i="12"/>
  <c r="J236" i="12" s="1"/>
  <c r="I235" i="12"/>
  <c r="J235" i="12" s="1"/>
  <c r="I234" i="12"/>
  <c r="J234" i="12" s="1"/>
  <c r="I233" i="12"/>
  <c r="J233" i="12" s="1"/>
  <c r="E232" i="12"/>
  <c r="I232" i="12" s="1"/>
  <c r="J232" i="12" s="1"/>
  <c r="I231" i="12"/>
  <c r="J231" i="12" s="1"/>
  <c r="E230" i="12"/>
  <c r="I230" i="12" s="1"/>
  <c r="I228" i="12"/>
  <c r="J228" i="12" s="1"/>
  <c r="I227" i="12"/>
  <c r="J227" i="12" s="1"/>
  <c r="I226" i="12"/>
  <c r="J226" i="12" s="1"/>
  <c r="I225" i="12"/>
  <c r="J225" i="12" s="1"/>
  <c r="E224" i="12"/>
  <c r="I224" i="12" s="1"/>
  <c r="J224" i="12" s="1"/>
  <c r="I223" i="12"/>
  <c r="J223" i="12" s="1"/>
  <c r="I222" i="12"/>
  <c r="J222" i="12" s="1"/>
  <c r="E221" i="12"/>
  <c r="I221" i="12" s="1"/>
  <c r="J221" i="12" s="1"/>
  <c r="I220" i="12"/>
  <c r="J220" i="12" s="1"/>
  <c r="E219" i="12"/>
  <c r="I219" i="12" s="1"/>
  <c r="I217" i="12"/>
  <c r="J217" i="12" s="1"/>
  <c r="I216" i="12"/>
  <c r="J216" i="12" s="1"/>
  <c r="I215" i="12"/>
  <c r="J215" i="12" s="1"/>
  <c r="I214" i="12"/>
  <c r="J214" i="12" s="1"/>
  <c r="E213" i="12"/>
  <c r="I213" i="12" s="1"/>
  <c r="J213" i="12" s="1"/>
  <c r="I212" i="12"/>
  <c r="J212" i="12" s="1"/>
  <c r="I211" i="12"/>
  <c r="J211" i="12" s="1"/>
  <c r="E210" i="12"/>
  <c r="I210" i="12" s="1"/>
  <c r="J210" i="12" s="1"/>
  <c r="I209" i="12"/>
  <c r="J209" i="12" s="1"/>
  <c r="I208" i="12"/>
  <c r="J208" i="12" s="1"/>
  <c r="E207" i="12"/>
  <c r="I207" i="12" s="1"/>
  <c r="I205" i="12"/>
  <c r="J205" i="12" s="1"/>
  <c r="I204" i="12"/>
  <c r="J204" i="12" s="1"/>
  <c r="I203" i="12"/>
  <c r="J203" i="12" s="1"/>
  <c r="I202" i="12"/>
  <c r="J202" i="12" s="1"/>
  <c r="I201" i="12"/>
  <c r="J201" i="12" s="1"/>
  <c r="E200" i="12"/>
  <c r="I200" i="12" s="1"/>
  <c r="J200" i="12" s="1"/>
  <c r="G199" i="12"/>
  <c r="I199" i="12" s="1"/>
  <c r="J199" i="12" s="1"/>
  <c r="I198" i="12"/>
  <c r="J198" i="12" s="1"/>
  <c r="I197" i="12"/>
  <c r="J197" i="12" s="1"/>
  <c r="E196" i="12"/>
  <c r="I196" i="12" s="1"/>
  <c r="J196" i="12" s="1"/>
  <c r="I195" i="12"/>
  <c r="J195" i="12" s="1"/>
  <c r="E194" i="12"/>
  <c r="I194" i="12" s="1"/>
  <c r="I192" i="12"/>
  <c r="J192" i="12" s="1"/>
  <c r="I191" i="12"/>
  <c r="J191" i="12" s="1"/>
  <c r="I190" i="12"/>
  <c r="J190" i="12" s="1"/>
  <c r="I189" i="12"/>
  <c r="J189" i="12" s="1"/>
  <c r="I188" i="12"/>
  <c r="J188" i="12" s="1"/>
  <c r="E187" i="12"/>
  <c r="I187" i="12" s="1"/>
  <c r="J187" i="12" s="1"/>
  <c r="I186" i="12"/>
  <c r="J186" i="12" s="1"/>
  <c r="I185" i="12"/>
  <c r="J185" i="12" s="1"/>
  <c r="E184" i="12"/>
  <c r="I184" i="12" s="1"/>
  <c r="J184" i="12" s="1"/>
  <c r="I183" i="12"/>
  <c r="J183" i="12" s="1"/>
  <c r="E182" i="12"/>
  <c r="I182" i="12" s="1"/>
  <c r="J247" i="15" l="1"/>
  <c r="I190" i="15"/>
  <c r="J190" i="15" s="1"/>
  <c r="I69" i="15"/>
  <c r="J69" i="15" s="1"/>
  <c r="I100" i="15"/>
  <c r="J100" i="15" s="1"/>
  <c r="J185" i="15"/>
  <c r="I184" i="15"/>
  <c r="J184" i="15" s="1"/>
  <c r="J176" i="15"/>
  <c r="I175" i="15"/>
  <c r="J175" i="15" s="1"/>
  <c r="J159" i="15"/>
  <c r="I158" i="15"/>
  <c r="J158" i="15" s="1"/>
  <c r="I180" i="15"/>
  <c r="J180" i="15" s="1"/>
  <c r="I165" i="15"/>
  <c r="J165" i="15" s="1"/>
  <c r="J168" i="15"/>
  <c r="J171" i="15"/>
  <c r="I170" i="15"/>
  <c r="J170" i="15" s="1"/>
  <c r="J191" i="15"/>
  <c r="J181" i="15"/>
  <c r="I74" i="15"/>
  <c r="J74" i="15" s="1"/>
  <c r="J75" i="15"/>
  <c r="J80" i="15"/>
  <c r="I79" i="15"/>
  <c r="J79" i="15" s="1"/>
  <c r="J86" i="15"/>
  <c r="I85" i="15"/>
  <c r="J85" i="15" s="1"/>
  <c r="J63" i="15"/>
  <c r="I62" i="15"/>
  <c r="J62" i="15" s="1"/>
  <c r="I90" i="15"/>
  <c r="J90" i="15" s="1"/>
  <c r="J91" i="15"/>
  <c r="J95" i="15"/>
  <c r="I94" i="15"/>
  <c r="J94" i="15" s="1"/>
  <c r="J72" i="15"/>
  <c r="J101" i="15"/>
  <c r="I34" i="15"/>
  <c r="J34" i="15" s="1"/>
  <c r="I28" i="15"/>
  <c r="J28" i="15" s="1"/>
  <c r="I18" i="15"/>
  <c r="J18" i="15" s="1"/>
  <c r="I39" i="15"/>
  <c r="J39" i="15" s="1"/>
  <c r="I43" i="15"/>
  <c r="J43" i="15" s="1"/>
  <c r="I49" i="15"/>
  <c r="J49" i="15" s="1"/>
  <c r="I11" i="15"/>
  <c r="J11" i="15" s="1"/>
  <c r="I23" i="15"/>
  <c r="J23" i="15" s="1"/>
  <c r="J24" i="15"/>
  <c r="I395" i="12"/>
  <c r="J395" i="12" s="1"/>
  <c r="J396" i="12"/>
  <c r="I375" i="12"/>
  <c r="J375" i="12" s="1"/>
  <c r="J376" i="12"/>
  <c r="J328" i="12"/>
  <c r="I327" i="12"/>
  <c r="J327" i="12" s="1"/>
  <c r="I352" i="12"/>
  <c r="J352" i="12" s="1"/>
  <c r="J353" i="12"/>
  <c r="J384" i="12"/>
  <c r="I383" i="12"/>
  <c r="J383" i="12" s="1"/>
  <c r="J365" i="12"/>
  <c r="I364" i="12"/>
  <c r="J364" i="12" s="1"/>
  <c r="I339" i="12"/>
  <c r="J339" i="12" s="1"/>
  <c r="J340" i="12"/>
  <c r="J416" i="12"/>
  <c r="I415" i="12"/>
  <c r="J415" i="12" s="1"/>
  <c r="J267" i="12"/>
  <c r="I266" i="12"/>
  <c r="J266" i="12" s="1"/>
  <c r="J311" i="12"/>
  <c r="I310" i="12"/>
  <c r="J310" i="12" s="1"/>
  <c r="J292" i="12"/>
  <c r="I291" i="12"/>
  <c r="J291" i="12" s="1"/>
  <c r="J255" i="12"/>
  <c r="I254" i="12"/>
  <c r="J254" i="12" s="1"/>
  <c r="J280" i="12"/>
  <c r="I279" i="12"/>
  <c r="J279" i="12" s="1"/>
  <c r="J323" i="12"/>
  <c r="I322" i="12"/>
  <c r="J322" i="12" s="1"/>
  <c r="J303" i="12"/>
  <c r="I302" i="12"/>
  <c r="J302" i="12" s="1"/>
  <c r="J230" i="12"/>
  <c r="I229" i="12"/>
  <c r="J229" i="12" s="1"/>
  <c r="J194" i="12"/>
  <c r="I193" i="12"/>
  <c r="J193" i="12" s="1"/>
  <c r="J238" i="12"/>
  <c r="I237" i="12"/>
  <c r="J237" i="12" s="1"/>
  <c r="J219" i="12"/>
  <c r="I218" i="12"/>
  <c r="J218" i="12" s="1"/>
  <c r="J207" i="12"/>
  <c r="I206" i="12"/>
  <c r="J206" i="12" s="1"/>
  <c r="J182" i="12"/>
  <c r="I181" i="12"/>
  <c r="J181" i="12" s="1"/>
  <c r="J250" i="12"/>
  <c r="I249" i="12"/>
  <c r="J249" i="12" s="1"/>
  <c r="I157" i="15" l="1"/>
  <c r="I61" i="15"/>
  <c r="I10" i="15"/>
  <c r="J157" i="15"/>
  <c r="L66" i="13" s="1"/>
  <c r="J61" i="15"/>
  <c r="J66" i="13" s="1"/>
  <c r="I180" i="12"/>
  <c r="I326" i="12"/>
  <c r="J326" i="12" s="1"/>
  <c r="M67" i="13" s="1"/>
  <c r="I253" i="12"/>
  <c r="J253" i="12" s="1"/>
  <c r="L67" i="13" s="1"/>
  <c r="J180" i="12"/>
  <c r="K67" i="13" s="1"/>
  <c r="D65" i="14"/>
  <c r="F64" i="14"/>
  <c r="E64" i="14"/>
  <c r="A64" i="14"/>
  <c r="F62" i="14"/>
  <c r="E62" i="14"/>
  <c r="A62" i="14"/>
  <c r="F61" i="14"/>
  <c r="E61" i="14"/>
  <c r="F60" i="14"/>
  <c r="E60" i="14"/>
  <c r="F59" i="14"/>
  <c r="E59" i="14"/>
  <c r="F58" i="14"/>
  <c r="E58" i="14"/>
  <c r="F57" i="14"/>
  <c r="E57" i="14"/>
  <c r="F56" i="14"/>
  <c r="E56" i="14"/>
  <c r="F55" i="14"/>
  <c r="E55" i="14"/>
  <c r="A55" i="14"/>
  <c r="F54" i="14"/>
  <c r="E54" i="14"/>
  <c r="A54" i="14"/>
  <c r="F53" i="14"/>
  <c r="E53" i="14"/>
  <c r="F52" i="14"/>
  <c r="E52" i="14"/>
  <c r="F51" i="14"/>
  <c r="E51" i="14"/>
  <c r="F50" i="14"/>
  <c r="E50" i="14"/>
  <c r="F49" i="14"/>
  <c r="E49" i="14"/>
  <c r="F47" i="14"/>
  <c r="E47" i="14"/>
  <c r="A47" i="14"/>
  <c r="F46" i="14"/>
  <c r="E46" i="14"/>
  <c r="F45" i="14"/>
  <c r="E45" i="14"/>
  <c r="F44" i="14"/>
  <c r="E44" i="14"/>
  <c r="F43" i="14"/>
  <c r="E43" i="14"/>
  <c r="F42" i="14"/>
  <c r="E42" i="14"/>
  <c r="F41" i="14"/>
  <c r="E41" i="14"/>
  <c r="F40" i="14"/>
  <c r="E40" i="14"/>
  <c r="F39" i="14"/>
  <c r="E39" i="14"/>
  <c r="F38" i="14"/>
  <c r="E38" i="14"/>
  <c r="A38" i="14"/>
  <c r="F37" i="14"/>
  <c r="E37" i="14"/>
  <c r="A37" i="14"/>
  <c r="F36" i="14"/>
  <c r="E36" i="14"/>
  <c r="F35" i="14"/>
  <c r="E35" i="14"/>
  <c r="F34" i="14"/>
  <c r="E34" i="14"/>
  <c r="F33" i="14"/>
  <c r="E33" i="14"/>
  <c r="F32" i="14"/>
  <c r="E32" i="14"/>
  <c r="F31" i="14"/>
  <c r="E31" i="14"/>
  <c r="F28" i="14"/>
  <c r="E28" i="14"/>
  <c r="A28" i="14"/>
  <c r="F27" i="14"/>
  <c r="E27" i="14"/>
  <c r="A27" i="14"/>
  <c r="F26" i="14"/>
  <c r="E26" i="14"/>
  <c r="A26" i="14"/>
  <c r="F25" i="14"/>
  <c r="E25" i="14"/>
  <c r="F24" i="14"/>
  <c r="E24" i="14"/>
  <c r="F23" i="14"/>
  <c r="E23" i="14"/>
  <c r="F20" i="14"/>
  <c r="E20" i="14"/>
  <c r="D19" i="14"/>
  <c r="A19" i="14"/>
  <c r="F17" i="14"/>
  <c r="E17" i="14"/>
  <c r="A17" i="14"/>
  <c r="F16" i="14"/>
  <c r="E16" i="14"/>
  <c r="A16" i="14"/>
  <c r="F15" i="14"/>
  <c r="E15" i="14"/>
  <c r="A15" i="14"/>
  <c r="F14" i="14"/>
  <c r="E14" i="14"/>
  <c r="A14" i="14"/>
  <c r="F12" i="14"/>
  <c r="E12" i="14"/>
  <c r="A12" i="14"/>
  <c r="F11" i="14"/>
  <c r="E11" i="14"/>
  <c r="A11" i="14"/>
  <c r="F10" i="14"/>
  <c r="E10" i="14"/>
  <c r="A10" i="14"/>
  <c r="F9" i="14"/>
  <c r="E9" i="14"/>
  <c r="A9" i="14"/>
  <c r="F8" i="14"/>
  <c r="E8" i="14"/>
  <c r="A8" i="14"/>
  <c r="F7" i="14"/>
  <c r="E7" i="14"/>
  <c r="A7" i="14"/>
  <c r="D66" i="14" l="1"/>
  <c r="A61" i="14"/>
  <c r="A45" i="14"/>
  <c r="A56" i="14"/>
  <c r="A36" i="14"/>
  <c r="A46" i="14"/>
  <c r="J10" i="15"/>
  <c r="I66" i="13" s="1"/>
  <c r="I9" i="15"/>
  <c r="J9" i="15" s="1"/>
  <c r="H66" i="13" s="1"/>
  <c r="D68" i="14"/>
  <c r="D67" i="14"/>
  <c r="F66" i="14"/>
  <c r="E66" i="14"/>
  <c r="A65" i="14"/>
  <c r="A57" i="14"/>
  <c r="A31" i="14"/>
  <c r="E19" i="14"/>
  <c r="E65" i="14"/>
  <c r="F19" i="14"/>
  <c r="A40" i="14"/>
  <c r="A49" i="14"/>
  <c r="F65" i="14"/>
  <c r="A20" i="14"/>
  <c r="A32" i="14"/>
  <c r="A66" i="14"/>
  <c r="A41" i="14"/>
  <c r="A50" i="14"/>
  <c r="A58" i="14"/>
  <c r="A23" i="14"/>
  <c r="A33" i="14"/>
  <c r="A42" i="14"/>
  <c r="A51" i="14"/>
  <c r="A59" i="14"/>
  <c r="A24" i="14"/>
  <c r="A34" i="14"/>
  <c r="A43" i="14"/>
  <c r="A52" i="14"/>
  <c r="A60" i="14"/>
  <c r="A25" i="14"/>
  <c r="A35" i="14"/>
  <c r="A44" i="14"/>
  <c r="A53" i="14"/>
  <c r="D66" i="13" l="1"/>
  <c r="D71" i="14" s="1"/>
  <c r="F67" i="14"/>
  <c r="E67" i="14"/>
  <c r="A67" i="14"/>
  <c r="A68" i="14"/>
  <c r="F68" i="14"/>
  <c r="E68" i="14"/>
  <c r="A71" i="14" l="1"/>
  <c r="E165" i="12"/>
  <c r="I165" i="12" s="1"/>
  <c r="E159" i="12"/>
  <c r="I159" i="12" s="1"/>
  <c r="J159" i="12" s="1"/>
  <c r="E72" i="12"/>
  <c r="E157" i="12"/>
  <c r="E151" i="12"/>
  <c r="E136" i="12"/>
  <c r="I136" i="12" s="1"/>
  <c r="J136" i="12" s="1"/>
  <c r="E125" i="12"/>
  <c r="E122" i="12"/>
  <c r="I122" i="12" s="1"/>
  <c r="E111" i="12"/>
  <c r="I111" i="12" s="1"/>
  <c r="J111" i="12" s="1"/>
  <c r="E115" i="12"/>
  <c r="I115" i="12" s="1"/>
  <c r="J115" i="12" s="1"/>
  <c r="E99" i="12"/>
  <c r="I99" i="12" s="1"/>
  <c r="J99" i="12" s="1"/>
  <c r="I179" i="12"/>
  <c r="J179" i="12" s="1"/>
  <c r="E178" i="12"/>
  <c r="I178" i="12" s="1"/>
  <c r="J178" i="12" s="1"/>
  <c r="E177" i="12"/>
  <c r="I177" i="12" s="1"/>
  <c r="I175" i="12"/>
  <c r="J175" i="12" s="1"/>
  <c r="I174" i="12"/>
  <c r="J174" i="12" s="1"/>
  <c r="I173" i="12"/>
  <c r="J173" i="12" s="1"/>
  <c r="I172" i="12"/>
  <c r="J172" i="12" s="1"/>
  <c r="I171" i="12"/>
  <c r="J171" i="12" s="1"/>
  <c r="E170" i="12"/>
  <c r="I170" i="12" s="1"/>
  <c r="J170" i="12" s="1"/>
  <c r="I169" i="12"/>
  <c r="J169" i="12" s="1"/>
  <c r="E168" i="12"/>
  <c r="I168" i="12" s="1"/>
  <c r="J168" i="12" s="1"/>
  <c r="I167" i="12"/>
  <c r="J167" i="12" s="1"/>
  <c r="I166" i="12"/>
  <c r="J166" i="12" s="1"/>
  <c r="I163" i="12"/>
  <c r="J163" i="12" s="1"/>
  <c r="I162" i="12"/>
  <c r="J162" i="12" s="1"/>
  <c r="I161" i="12"/>
  <c r="J161" i="12" s="1"/>
  <c r="I160" i="12"/>
  <c r="J160" i="12" s="1"/>
  <c r="I158" i="12"/>
  <c r="J158" i="12" s="1"/>
  <c r="I157" i="12"/>
  <c r="I155" i="12"/>
  <c r="J155" i="12" s="1"/>
  <c r="I154" i="12"/>
  <c r="J154" i="12" s="1"/>
  <c r="I153" i="12"/>
  <c r="J153" i="12" s="1"/>
  <c r="I152" i="12"/>
  <c r="J152" i="12" s="1"/>
  <c r="I151" i="12"/>
  <c r="J151" i="12" s="1"/>
  <c r="I150" i="12"/>
  <c r="J150" i="12" s="1"/>
  <c r="I149" i="12"/>
  <c r="J149" i="12" s="1"/>
  <c r="E148" i="12"/>
  <c r="I148" i="12" s="1"/>
  <c r="J148" i="12" s="1"/>
  <c r="I147" i="12"/>
  <c r="J147" i="12" s="1"/>
  <c r="E146" i="12"/>
  <c r="I146" i="12" s="1"/>
  <c r="I144" i="12"/>
  <c r="J144" i="12" s="1"/>
  <c r="I143" i="12"/>
  <c r="J143" i="12" s="1"/>
  <c r="I142" i="12"/>
  <c r="J142" i="12" s="1"/>
  <c r="I141" i="12"/>
  <c r="J141" i="12" s="1"/>
  <c r="I140" i="12"/>
  <c r="J140" i="12" s="1"/>
  <c r="E139" i="12"/>
  <c r="I139" i="12" s="1"/>
  <c r="J139" i="12" s="1"/>
  <c r="I138" i="12"/>
  <c r="J138" i="12" s="1"/>
  <c r="I137" i="12"/>
  <c r="J137" i="12" s="1"/>
  <c r="I135" i="12"/>
  <c r="J135" i="12" s="1"/>
  <c r="E134" i="12"/>
  <c r="I134" i="12" s="1"/>
  <c r="I132" i="12"/>
  <c r="J132" i="12" s="1"/>
  <c r="I131" i="12"/>
  <c r="J131" i="12" s="1"/>
  <c r="I130" i="12"/>
  <c r="J130" i="12" s="1"/>
  <c r="I129" i="12"/>
  <c r="J129" i="12" s="1"/>
  <c r="E128" i="12"/>
  <c r="I128" i="12" s="1"/>
  <c r="J128" i="12" s="1"/>
  <c r="I127" i="12"/>
  <c r="J127" i="12" s="1"/>
  <c r="I126" i="12"/>
  <c r="J126" i="12" s="1"/>
  <c r="I125" i="12"/>
  <c r="J125" i="12" s="1"/>
  <c r="I124" i="12"/>
  <c r="J124" i="12" s="1"/>
  <c r="I123" i="12"/>
  <c r="J123" i="12" s="1"/>
  <c r="I120" i="12"/>
  <c r="J120" i="12" s="1"/>
  <c r="I119" i="12"/>
  <c r="J119" i="12" s="1"/>
  <c r="I118" i="12"/>
  <c r="J118" i="12" s="1"/>
  <c r="I117" i="12"/>
  <c r="J117" i="12" s="1"/>
  <c r="I116" i="12"/>
  <c r="J116" i="12" s="1"/>
  <c r="G114" i="12"/>
  <c r="I114" i="12" s="1"/>
  <c r="J114" i="12" s="1"/>
  <c r="I113" i="12"/>
  <c r="J113" i="12" s="1"/>
  <c r="I112" i="12"/>
  <c r="J112" i="12" s="1"/>
  <c r="I110" i="12"/>
  <c r="J110" i="12" s="1"/>
  <c r="E109" i="12"/>
  <c r="I109" i="12" s="1"/>
  <c r="I107" i="12"/>
  <c r="J107" i="12" s="1"/>
  <c r="I106" i="12"/>
  <c r="J106" i="12" s="1"/>
  <c r="I105" i="12"/>
  <c r="J105" i="12" s="1"/>
  <c r="I104" i="12"/>
  <c r="J104" i="12" s="1"/>
  <c r="I103" i="12"/>
  <c r="J103" i="12" s="1"/>
  <c r="E102" i="12"/>
  <c r="I102" i="12" s="1"/>
  <c r="J102" i="12" s="1"/>
  <c r="I101" i="12"/>
  <c r="J101" i="12" s="1"/>
  <c r="I100" i="12"/>
  <c r="J100" i="12" s="1"/>
  <c r="I98" i="12"/>
  <c r="J98" i="12" s="1"/>
  <c r="E97" i="12"/>
  <c r="I97" i="12" s="1"/>
  <c r="E93" i="12"/>
  <c r="I93" i="12" s="1"/>
  <c r="J93" i="12" s="1"/>
  <c r="I94" i="12"/>
  <c r="J94" i="12" s="1"/>
  <c r="E92" i="12"/>
  <c r="I92" i="12" s="1"/>
  <c r="E85" i="12"/>
  <c r="I85" i="12" s="1"/>
  <c r="I90" i="12"/>
  <c r="J90" i="12" s="1"/>
  <c r="I89" i="12"/>
  <c r="J89" i="12" s="1"/>
  <c r="I88" i="12"/>
  <c r="J88" i="12" s="1"/>
  <c r="I87" i="12"/>
  <c r="J87" i="12" s="1"/>
  <c r="I86" i="12"/>
  <c r="J86" i="12" s="1"/>
  <c r="I84" i="12"/>
  <c r="J84" i="12" s="1"/>
  <c r="E83" i="12"/>
  <c r="I83" i="12" s="1"/>
  <c r="J83" i="12" s="1"/>
  <c r="I82" i="12"/>
  <c r="J82" i="12" s="1"/>
  <c r="I81" i="12"/>
  <c r="J81" i="12" s="1"/>
  <c r="E80" i="12"/>
  <c r="I80" i="12" s="1"/>
  <c r="J80" i="12" s="1"/>
  <c r="I78" i="12"/>
  <c r="J78" i="12" s="1"/>
  <c r="I77" i="12"/>
  <c r="J77" i="12" s="1"/>
  <c r="I76" i="12"/>
  <c r="J76" i="12" s="1"/>
  <c r="I75" i="12"/>
  <c r="J75" i="12" s="1"/>
  <c r="E74" i="12"/>
  <c r="I73" i="12"/>
  <c r="J73" i="12" s="1"/>
  <c r="I74" i="12"/>
  <c r="J74" i="12" s="1"/>
  <c r="I72" i="12"/>
  <c r="J72" i="12" s="1"/>
  <c r="I59" i="12"/>
  <c r="J59" i="12" s="1"/>
  <c r="I58" i="12"/>
  <c r="J58" i="12" s="1"/>
  <c r="I57" i="12"/>
  <c r="J57" i="12" s="1"/>
  <c r="I56" i="12"/>
  <c r="J56" i="12" s="1"/>
  <c r="I55" i="12"/>
  <c r="J55" i="12" s="1"/>
  <c r="E54" i="12"/>
  <c r="I54" i="12" s="1"/>
  <c r="J54" i="12" s="1"/>
  <c r="I53" i="12"/>
  <c r="J53" i="12" s="1"/>
  <c r="I52" i="12"/>
  <c r="J52" i="12" s="1"/>
  <c r="E51" i="12"/>
  <c r="I51" i="12" s="1"/>
  <c r="J51" i="12" s="1"/>
  <c r="I50" i="12"/>
  <c r="J50" i="12" s="1"/>
  <c r="E49" i="12"/>
  <c r="I49" i="12" s="1"/>
  <c r="I47" i="12"/>
  <c r="J47" i="12" s="1"/>
  <c r="I46" i="12"/>
  <c r="J46" i="12" s="1"/>
  <c r="I45" i="12"/>
  <c r="J45" i="12" s="1"/>
  <c r="I44" i="12"/>
  <c r="J44" i="12" s="1"/>
  <c r="E43" i="12"/>
  <c r="I43" i="12" s="1"/>
  <c r="J43" i="12" s="1"/>
  <c r="I42" i="12"/>
  <c r="J42" i="12" s="1"/>
  <c r="I41" i="12"/>
  <c r="J41" i="12" s="1"/>
  <c r="E40" i="12"/>
  <c r="I40" i="12" s="1"/>
  <c r="J40" i="12" s="1"/>
  <c r="I39" i="12"/>
  <c r="J39" i="12" s="1"/>
  <c r="I38" i="12"/>
  <c r="J38" i="12" s="1"/>
  <c r="E37" i="12"/>
  <c r="I37" i="12" s="1"/>
  <c r="E24" i="12"/>
  <c r="I24" i="12" s="1"/>
  <c r="J24" i="12" s="1"/>
  <c r="I25" i="12"/>
  <c r="J25" i="12" s="1"/>
  <c r="E26" i="12"/>
  <c r="I26" i="12" s="1"/>
  <c r="J26" i="12" s="1"/>
  <c r="I27" i="12"/>
  <c r="J27" i="12" s="1"/>
  <c r="I28" i="12"/>
  <c r="J28" i="12" s="1"/>
  <c r="G29" i="12"/>
  <c r="I29" i="12"/>
  <c r="J29" i="12" s="1"/>
  <c r="E30" i="12"/>
  <c r="I30" i="12" s="1"/>
  <c r="J30" i="12" s="1"/>
  <c r="I31" i="12"/>
  <c r="J31" i="12" s="1"/>
  <c r="I32" i="12"/>
  <c r="J32" i="12" s="1"/>
  <c r="I33" i="12"/>
  <c r="J33" i="12" s="1"/>
  <c r="I34" i="12"/>
  <c r="J34" i="12" s="1"/>
  <c r="I35" i="12"/>
  <c r="J35" i="12" s="1"/>
  <c r="I70" i="12"/>
  <c r="J70" i="12" s="1"/>
  <c r="I69" i="12"/>
  <c r="J69" i="12" s="1"/>
  <c r="I68" i="12"/>
  <c r="J68" i="12" s="1"/>
  <c r="I67" i="12"/>
  <c r="J67" i="12" s="1"/>
  <c r="E66" i="12"/>
  <c r="I66" i="12" s="1"/>
  <c r="J66" i="12" s="1"/>
  <c r="I65" i="12"/>
  <c r="J65" i="12" s="1"/>
  <c r="I64" i="12"/>
  <c r="J64" i="12" s="1"/>
  <c r="E63" i="12"/>
  <c r="I63" i="12" s="1"/>
  <c r="J63" i="12" s="1"/>
  <c r="I62" i="12"/>
  <c r="J62" i="12" s="1"/>
  <c r="E61" i="12"/>
  <c r="I61" i="12" s="1"/>
  <c r="J61" i="12" s="1"/>
  <c r="I22" i="12"/>
  <c r="J22" i="12" s="1"/>
  <c r="I21" i="12"/>
  <c r="J21" i="12" s="1"/>
  <c r="I20" i="12"/>
  <c r="J20" i="12" s="1"/>
  <c r="I19" i="12"/>
  <c r="J19" i="12" s="1"/>
  <c r="I18" i="12"/>
  <c r="J18" i="12" s="1"/>
  <c r="E17" i="12"/>
  <c r="I17" i="12" s="1"/>
  <c r="J17" i="12" s="1"/>
  <c r="I16" i="12"/>
  <c r="J16" i="12" s="1"/>
  <c r="I15" i="12"/>
  <c r="J15" i="12" s="1"/>
  <c r="E14" i="12"/>
  <c r="I14" i="12" s="1"/>
  <c r="J14" i="12" s="1"/>
  <c r="I13" i="12"/>
  <c r="J13" i="12" s="1"/>
  <c r="E12" i="12"/>
  <c r="I12" i="12" s="1"/>
  <c r="J12" i="12" s="1"/>
  <c r="J92" i="12" l="1"/>
  <c r="I91" i="12"/>
  <c r="J91" i="12" s="1"/>
  <c r="J157" i="12"/>
  <c r="I156" i="12"/>
  <c r="J156" i="12" s="1"/>
  <c r="J165" i="12"/>
  <c r="I164" i="12"/>
  <c r="J164" i="12" s="1"/>
  <c r="J97" i="12"/>
  <c r="I96" i="12"/>
  <c r="J96" i="12" s="1"/>
  <c r="J122" i="12"/>
  <c r="I121" i="12"/>
  <c r="J121" i="12" s="1"/>
  <c r="J146" i="12"/>
  <c r="I145" i="12"/>
  <c r="J145" i="12" s="1"/>
  <c r="J177" i="12"/>
  <c r="I176" i="12"/>
  <c r="J176" i="12" s="1"/>
  <c r="I108" i="12"/>
  <c r="J108" i="12" s="1"/>
  <c r="J109" i="12"/>
  <c r="I133" i="12"/>
  <c r="J133" i="12" s="1"/>
  <c r="J134" i="12"/>
  <c r="J85" i="12"/>
  <c r="I79" i="12"/>
  <c r="J79" i="12" s="1"/>
  <c r="I71" i="12"/>
  <c r="J71" i="12" s="1"/>
  <c r="J49" i="12"/>
  <c r="I48" i="12"/>
  <c r="J48" i="12" s="1"/>
  <c r="J37" i="12"/>
  <c r="I36" i="12"/>
  <c r="J36" i="12" s="1"/>
  <c r="I60" i="12"/>
  <c r="J60" i="12" s="1"/>
  <c r="I23" i="12"/>
  <c r="J23" i="12" s="1"/>
  <c r="I11" i="12"/>
  <c r="J11" i="12" s="1"/>
  <c r="I10" i="12" l="1"/>
  <c r="I95" i="12"/>
  <c r="J95" i="12" s="1"/>
  <c r="J67" i="13" s="1"/>
  <c r="O8" i="12"/>
  <c r="J10" i="12" l="1"/>
  <c r="I67" i="13" s="1"/>
  <c r="I9" i="12"/>
  <c r="J9" i="12" s="1"/>
  <c r="H67" i="13" s="1"/>
  <c r="D67" i="13" s="1"/>
  <c r="D68" i="13" l="1"/>
  <c r="D72" i="14"/>
  <c r="I120" i="6"/>
  <c r="J120" i="6" s="1"/>
  <c r="F87" i="6"/>
  <c r="F86" i="6"/>
  <c r="F83" i="6"/>
  <c r="I83" i="6" s="1"/>
  <c r="J83" i="6" s="1"/>
  <c r="F82" i="6"/>
  <c r="I82" i="6" s="1"/>
  <c r="J82" i="6" s="1"/>
  <c r="I81" i="6"/>
  <c r="J81" i="6" s="1"/>
  <c r="F81" i="6"/>
  <c r="F78" i="6"/>
  <c r="F88" i="6"/>
  <c r="F85" i="6"/>
  <c r="F84" i="6"/>
  <c r="F80" i="6"/>
  <c r="F79" i="6"/>
  <c r="F77" i="6"/>
  <c r="I62" i="6"/>
  <c r="J62" i="6" s="1"/>
  <c r="E58" i="6"/>
  <c r="E57" i="6"/>
  <c r="G53" i="6"/>
  <c r="I53" i="6" s="1"/>
  <c r="J53" i="6" s="1"/>
  <c r="G52" i="6"/>
  <c r="G51" i="6"/>
  <c r="G50" i="6"/>
  <c r="G49" i="6"/>
  <c r="G48" i="6"/>
  <c r="I54" i="6"/>
  <c r="J54" i="6" s="1"/>
  <c r="G37" i="6"/>
  <c r="I37" i="6" s="1"/>
  <c r="J37" i="6" s="1"/>
  <c r="G36" i="6"/>
  <c r="I36" i="6" s="1"/>
  <c r="J36" i="6" s="1"/>
  <c r="G45" i="6"/>
  <c r="I45" i="6" s="1"/>
  <c r="J45" i="6" s="1"/>
  <c r="I35" i="6"/>
  <c r="J35" i="6" s="1"/>
  <c r="G38" i="6"/>
  <c r="I38" i="6" s="1"/>
  <c r="J38" i="6" s="1"/>
  <c r="I39" i="6"/>
  <c r="J39" i="6" s="1"/>
  <c r="G40" i="6"/>
  <c r="I40" i="6" s="1"/>
  <c r="J40" i="6" s="1"/>
  <c r="G41" i="6"/>
  <c r="I41" i="6" s="1"/>
  <c r="J41" i="6" s="1"/>
  <c r="I42" i="6"/>
  <c r="J42" i="6" s="1"/>
  <c r="G43" i="6"/>
  <c r="I43" i="6"/>
  <c r="J43" i="6" s="1"/>
  <c r="G44" i="6"/>
  <c r="I44" i="6" s="1"/>
  <c r="J44" i="6" s="1"/>
  <c r="G13" i="6"/>
  <c r="I13" i="6" s="1"/>
  <c r="J13" i="6" s="1"/>
  <c r="D73" i="14" l="1"/>
  <c r="A73" i="14"/>
  <c r="A74" i="14"/>
  <c r="A78" i="14"/>
  <c r="A72" i="14"/>
  <c r="A80" i="14"/>
  <c r="A79" i="14"/>
  <c r="A76" i="14"/>
  <c r="A77" i="14"/>
  <c r="I248" i="6"/>
  <c r="J248" i="6" s="1"/>
  <c r="G247" i="6"/>
  <c r="I247" i="6" s="1"/>
  <c r="J247" i="6" s="1"/>
  <c r="G246" i="6"/>
  <c r="I246" i="6" s="1"/>
  <c r="J246" i="6" s="1"/>
  <c r="I245" i="6"/>
  <c r="J245" i="6" s="1"/>
  <c r="G244" i="6"/>
  <c r="I244" i="6" s="1"/>
  <c r="J244" i="6" s="1"/>
  <c r="G243" i="6"/>
  <c r="I243" i="6" s="1"/>
  <c r="J243" i="6" s="1"/>
  <c r="I242" i="6"/>
  <c r="J242" i="6" s="1"/>
  <c r="I241" i="6"/>
  <c r="J241" i="6" s="1"/>
  <c r="G240" i="6"/>
  <c r="I240" i="6" s="1"/>
  <c r="J240" i="6" s="1"/>
  <c r="G239" i="6"/>
  <c r="I239" i="6" s="1"/>
  <c r="J239" i="6" s="1"/>
  <c r="I238" i="6"/>
  <c r="J238" i="6" s="1"/>
  <c r="G237" i="6"/>
  <c r="I237" i="6" s="1"/>
  <c r="J237" i="6" s="1"/>
  <c r="G236" i="6"/>
  <c r="I236" i="6" s="1"/>
  <c r="J236" i="6" s="1"/>
  <c r="I235" i="6"/>
  <c r="J235" i="6" s="1"/>
  <c r="G234" i="6"/>
  <c r="I234" i="6" s="1"/>
  <c r="J234" i="6" s="1"/>
  <c r="G233" i="6"/>
  <c r="I233" i="6" s="1"/>
  <c r="J233" i="6" s="1"/>
  <c r="I232" i="6"/>
  <c r="J232" i="6" s="1"/>
  <c r="I231" i="6"/>
  <c r="J231" i="6" s="1"/>
  <c r="G230" i="6"/>
  <c r="I230" i="6" s="1"/>
  <c r="J230" i="6" s="1"/>
  <c r="G229" i="6"/>
  <c r="I229" i="6" s="1"/>
  <c r="J229" i="6" s="1"/>
  <c r="I228" i="6"/>
  <c r="J228" i="6" s="1"/>
  <c r="G227" i="6"/>
  <c r="I227" i="6" s="1"/>
  <c r="J227" i="6" s="1"/>
  <c r="G226" i="6"/>
  <c r="I226" i="6" s="1"/>
  <c r="J226" i="6" s="1"/>
  <c r="I225" i="6"/>
  <c r="J225" i="6" s="1"/>
  <c r="I224" i="6"/>
  <c r="J224" i="6" s="1"/>
  <c r="G223" i="6"/>
  <c r="I223" i="6" s="1"/>
  <c r="J223" i="6" s="1"/>
  <c r="G222" i="6"/>
  <c r="I222" i="6" s="1"/>
  <c r="J222" i="6" s="1"/>
  <c r="I221" i="6"/>
  <c r="J221" i="6" s="1"/>
  <c r="G220" i="6"/>
  <c r="I220" i="6" s="1"/>
  <c r="J220" i="6" s="1"/>
  <c r="G219" i="6"/>
  <c r="I219" i="6" s="1"/>
  <c r="J219" i="6" s="1"/>
  <c r="I218" i="6"/>
  <c r="J218" i="6" s="1"/>
  <c r="I217" i="6"/>
  <c r="J217" i="6" s="1"/>
  <c r="G216" i="6"/>
  <c r="I216" i="6" s="1"/>
  <c r="J216" i="6" s="1"/>
  <c r="G215" i="6"/>
  <c r="I215" i="6" s="1"/>
  <c r="J215" i="6" s="1"/>
  <c r="I214" i="6"/>
  <c r="J214" i="6" s="1"/>
  <c r="G213" i="6"/>
  <c r="I213" i="6" s="1"/>
  <c r="J213" i="6" s="1"/>
  <c r="G212" i="6"/>
  <c r="I212" i="6" s="1"/>
  <c r="J212" i="6" s="1"/>
  <c r="I211" i="6"/>
  <c r="J211" i="6" s="1"/>
  <c r="I210" i="6"/>
  <c r="J210" i="6" s="1"/>
  <c r="G209" i="6"/>
  <c r="I209" i="6" s="1"/>
  <c r="J209" i="6" s="1"/>
  <c r="G208" i="6"/>
  <c r="I208" i="6" s="1"/>
  <c r="J208" i="6" s="1"/>
  <c r="I207" i="6"/>
  <c r="J207" i="6" s="1"/>
  <c r="G206" i="6"/>
  <c r="I206" i="6" s="1"/>
  <c r="J206" i="6" s="1"/>
  <c r="G205" i="6"/>
  <c r="I205" i="6" s="1"/>
  <c r="J205" i="6" s="1"/>
  <c r="I204" i="6"/>
  <c r="J204" i="6" s="1"/>
  <c r="I203" i="6"/>
  <c r="J203" i="6" s="1"/>
  <c r="G202" i="6"/>
  <c r="I202" i="6" s="1"/>
  <c r="J202" i="6" s="1"/>
  <c r="G201" i="6"/>
  <c r="I201" i="6" s="1"/>
  <c r="J201" i="6" s="1"/>
  <c r="I200" i="6"/>
  <c r="J200" i="6" s="1"/>
  <c r="G199" i="6"/>
  <c r="I199" i="6" s="1"/>
  <c r="J199" i="6" s="1"/>
  <c r="G198" i="6"/>
  <c r="I198" i="6" s="1"/>
  <c r="J198" i="6" s="1"/>
  <c r="I197" i="6"/>
  <c r="J197" i="6" s="1"/>
  <c r="G196" i="6"/>
  <c r="I196" i="6" s="1"/>
  <c r="J196" i="6" s="1"/>
  <c r="G195" i="6"/>
  <c r="I195" i="6" s="1"/>
  <c r="J195" i="6" s="1"/>
  <c r="I194" i="6"/>
  <c r="J194" i="6" s="1"/>
  <c r="G193" i="6"/>
  <c r="I193" i="6" s="1"/>
  <c r="J193" i="6" s="1"/>
  <c r="G192" i="6"/>
  <c r="I192" i="6" s="1"/>
  <c r="J192" i="6" s="1"/>
  <c r="I191" i="6"/>
  <c r="J191" i="6" s="1"/>
  <c r="G190" i="6"/>
  <c r="I190" i="6" s="1"/>
  <c r="J190" i="6" s="1"/>
  <c r="G189" i="6"/>
  <c r="I189" i="6" s="1"/>
  <c r="J189" i="6" s="1"/>
  <c r="I188" i="6"/>
  <c r="J188" i="6" s="1"/>
  <c r="G187" i="6"/>
  <c r="I187" i="6" s="1"/>
  <c r="J187" i="6" s="1"/>
  <c r="G186" i="6"/>
  <c r="I186" i="6" s="1"/>
  <c r="J186" i="6" s="1"/>
  <c r="G184" i="6"/>
  <c r="I184" i="6" s="1"/>
  <c r="J184" i="6" s="1"/>
  <c r="I185" i="6"/>
  <c r="J185" i="6" s="1"/>
  <c r="G183" i="6"/>
  <c r="I183" i="6" s="1"/>
  <c r="J183" i="6" s="1"/>
  <c r="I182" i="6"/>
  <c r="J182" i="6" s="1"/>
  <c r="G181" i="6"/>
  <c r="I181" i="6" s="1"/>
  <c r="J181" i="6" s="1"/>
  <c r="G180" i="6"/>
  <c r="I180" i="6" s="1"/>
  <c r="J180" i="6" s="1"/>
  <c r="I179" i="6"/>
  <c r="J179" i="6" s="1"/>
  <c r="G178" i="6"/>
  <c r="I178" i="6" s="1"/>
  <c r="J178" i="6" s="1"/>
  <c r="G177" i="6"/>
  <c r="I177" i="6" s="1"/>
  <c r="J177" i="6" s="1"/>
  <c r="I176" i="6"/>
  <c r="J176" i="6" s="1"/>
  <c r="G175" i="6"/>
  <c r="I175" i="6" s="1"/>
  <c r="J175" i="6" s="1"/>
  <c r="G174" i="6"/>
  <c r="I174" i="6" s="1"/>
  <c r="J174" i="6" s="1"/>
  <c r="I173" i="6"/>
  <c r="J173" i="6" s="1"/>
  <c r="I172" i="6"/>
  <c r="J172" i="6" s="1"/>
  <c r="G171" i="6"/>
  <c r="I171" i="6" s="1"/>
  <c r="J171" i="6" s="1"/>
  <c r="G170" i="6"/>
  <c r="I170" i="6" s="1"/>
  <c r="J170" i="6" s="1"/>
  <c r="I169" i="6"/>
  <c r="J169" i="6" s="1"/>
  <c r="G168" i="6"/>
  <c r="I168" i="6" s="1"/>
  <c r="J168" i="6" s="1"/>
  <c r="G167" i="6"/>
  <c r="I167" i="6" s="1"/>
  <c r="J167" i="6" s="1"/>
  <c r="I166" i="6"/>
  <c r="J166" i="6" s="1"/>
  <c r="G165" i="6"/>
  <c r="I165" i="6" s="1"/>
  <c r="J165" i="6" s="1"/>
  <c r="G164" i="6"/>
  <c r="I164" i="6" s="1"/>
  <c r="J164" i="6" s="1"/>
  <c r="I163" i="6"/>
  <c r="J163" i="6" s="1"/>
  <c r="I162" i="6"/>
  <c r="J162" i="6" s="1"/>
  <c r="G161" i="6"/>
  <c r="I161" i="6" s="1"/>
  <c r="J161" i="6" s="1"/>
  <c r="G160" i="6"/>
  <c r="I160" i="6" s="1"/>
  <c r="J160" i="6" s="1"/>
  <c r="I159" i="6"/>
  <c r="J159" i="6" s="1"/>
  <c r="G158" i="6"/>
  <c r="I158" i="6" s="1"/>
  <c r="J158" i="6" s="1"/>
  <c r="G157" i="6"/>
  <c r="I157" i="6" s="1"/>
  <c r="J157" i="6" s="1"/>
  <c r="I156" i="6"/>
  <c r="J156" i="6" s="1"/>
  <c r="I155" i="6"/>
  <c r="J155" i="6" s="1"/>
  <c r="G154" i="6"/>
  <c r="I154" i="6" s="1"/>
  <c r="J154" i="6" s="1"/>
  <c r="G153" i="6"/>
  <c r="I153" i="6" s="1"/>
  <c r="J153" i="6" s="1"/>
  <c r="I152" i="6"/>
  <c r="J152" i="6" s="1"/>
  <c r="G151" i="6"/>
  <c r="I151" i="6" s="1"/>
  <c r="J151" i="6" s="1"/>
  <c r="G150" i="6"/>
  <c r="I150" i="6" s="1"/>
  <c r="J150" i="6" s="1"/>
  <c r="I149" i="6"/>
  <c r="J149" i="6" s="1"/>
  <c r="G148" i="6"/>
  <c r="I148" i="6" s="1"/>
  <c r="J148" i="6" s="1"/>
  <c r="G147" i="6"/>
  <c r="I147" i="6" s="1"/>
  <c r="J147" i="6" s="1"/>
  <c r="I146" i="6"/>
  <c r="J146" i="6" s="1"/>
  <c r="G144" i="6"/>
  <c r="I144" i="6" s="1"/>
  <c r="J144" i="6" s="1"/>
  <c r="I145" i="6"/>
  <c r="J145" i="6" s="1"/>
  <c r="G143" i="6"/>
  <c r="I143" i="6" s="1"/>
  <c r="J143" i="6" s="1"/>
  <c r="I142" i="6"/>
  <c r="J142" i="6" s="1"/>
  <c r="G141" i="6"/>
  <c r="I141" i="6" s="1"/>
  <c r="J141" i="6" s="1"/>
  <c r="G140" i="6"/>
  <c r="I140" i="6" s="1"/>
  <c r="J140" i="6" s="1"/>
  <c r="G138" i="6"/>
  <c r="I138" i="6" s="1"/>
  <c r="J138" i="6" s="1"/>
  <c r="G135" i="6"/>
  <c r="I135" i="6" s="1"/>
  <c r="J135" i="6" s="1"/>
  <c r="I139" i="6"/>
  <c r="J139" i="6" s="1"/>
  <c r="G137" i="6"/>
  <c r="I137" i="6" s="1"/>
  <c r="J137" i="6" s="1"/>
  <c r="I136" i="6"/>
  <c r="J136" i="6" s="1"/>
  <c r="G134" i="6"/>
  <c r="I134" i="6" s="1"/>
  <c r="J134" i="6" s="1"/>
  <c r="E74" i="6"/>
  <c r="I74" i="6" s="1"/>
  <c r="E72" i="6"/>
  <c r="I72" i="6" s="1"/>
  <c r="I68" i="6"/>
  <c r="I67" i="6"/>
  <c r="I66" i="6"/>
  <c r="I65" i="6"/>
  <c r="I61" i="6"/>
  <c r="J61" i="6" s="1"/>
  <c r="E122" i="6"/>
  <c r="E121" i="6"/>
  <c r="E113" i="6"/>
  <c r="I93" i="6"/>
  <c r="I92" i="6"/>
  <c r="J92" i="6" s="1"/>
  <c r="I91" i="6"/>
  <c r="I90" i="6"/>
  <c r="I89" i="6"/>
  <c r="J89" i="6" s="1"/>
  <c r="I87" i="6"/>
  <c r="J87" i="6" s="1"/>
  <c r="I86" i="6"/>
  <c r="J86" i="6" s="1"/>
  <c r="I85" i="6"/>
  <c r="J85" i="6" s="1"/>
  <c r="I84" i="6"/>
  <c r="J84" i="6" s="1"/>
  <c r="I80" i="6"/>
  <c r="J80" i="6" s="1"/>
  <c r="I79" i="6"/>
  <c r="J79" i="6" s="1"/>
  <c r="I78" i="6"/>
  <c r="J78" i="6" s="1"/>
  <c r="I77" i="6"/>
  <c r="J77" i="6" s="1"/>
  <c r="I88" i="6"/>
  <c r="G34" i="6"/>
  <c r="I34" i="6" s="1"/>
  <c r="J34" i="6" s="1"/>
  <c r="G32" i="6"/>
  <c r="I32" i="6" s="1"/>
  <c r="J32" i="6" s="1"/>
  <c r="G31" i="6"/>
  <c r="I31" i="6" s="1"/>
  <c r="J31" i="6" s="1"/>
  <c r="G30" i="6"/>
  <c r="I30" i="6" s="1"/>
  <c r="J30" i="6" s="1"/>
  <c r="G26" i="6"/>
  <c r="I51" i="6"/>
  <c r="J51" i="6" s="1"/>
  <c r="I50" i="6"/>
  <c r="J50" i="6" s="1"/>
  <c r="I49" i="6"/>
  <c r="J49" i="6" s="1"/>
  <c r="G58" i="6"/>
  <c r="G57" i="6"/>
  <c r="I52" i="6"/>
  <c r="J52" i="6" s="1"/>
  <c r="I33" i="6"/>
  <c r="J33" i="6" s="1"/>
  <c r="I27" i="6"/>
  <c r="J27" i="6" s="1"/>
  <c r="G29" i="6"/>
  <c r="I29" i="6" s="1"/>
  <c r="J29" i="6" s="1"/>
  <c r="G28" i="6"/>
  <c r="I28" i="6" s="1"/>
  <c r="J28" i="6" s="1"/>
  <c r="G19" i="6"/>
  <c r="G18" i="6"/>
  <c r="G12" i="6"/>
  <c r="G10" i="6"/>
  <c r="J133" i="6" l="1"/>
  <c r="J70" i="6"/>
  <c r="J64" i="6"/>
  <c r="J88" i="6"/>
  <c r="J76" i="6" s="1"/>
  <c r="I58" i="6"/>
  <c r="J58" i="6" s="1"/>
  <c r="I122" i="6"/>
  <c r="J122" i="6" s="1"/>
  <c r="I121" i="6"/>
  <c r="J121" i="6" s="1"/>
  <c r="I119" i="6"/>
  <c r="J119" i="6" s="1"/>
  <c r="I118" i="6"/>
  <c r="J118" i="6" s="1"/>
  <c r="I117" i="6"/>
  <c r="J117" i="6" s="1"/>
  <c r="I116" i="6"/>
  <c r="J116" i="6" s="1"/>
  <c r="I115" i="6"/>
  <c r="J115" i="6" s="1"/>
  <c r="I113" i="6"/>
  <c r="J113" i="6" s="1"/>
  <c r="I112" i="6"/>
  <c r="J112" i="6" s="1"/>
  <c r="I111" i="6"/>
  <c r="J111" i="6" s="1"/>
  <c r="I110" i="6"/>
  <c r="J110" i="6" s="1"/>
  <c r="I109" i="6"/>
  <c r="J109" i="6" s="1"/>
  <c r="I108" i="6"/>
  <c r="J108" i="6" s="1"/>
  <c r="E100" i="6"/>
  <c r="E97" i="6"/>
  <c r="I97" i="6" s="1"/>
  <c r="J97" i="6" s="1"/>
  <c r="I57" i="6"/>
  <c r="J57" i="6" s="1"/>
  <c r="I48" i="6"/>
  <c r="J48" i="6" s="1"/>
  <c r="I23" i="6"/>
  <c r="I22" i="6"/>
  <c r="I19" i="6"/>
  <c r="J19" i="6" s="1"/>
  <c r="I18" i="6"/>
  <c r="J18" i="6" s="1"/>
  <c r="I12" i="6"/>
  <c r="J12" i="6" s="1"/>
  <c r="H11" i="6"/>
  <c r="I11" i="6" s="1"/>
  <c r="J11" i="6" s="1"/>
  <c r="I10" i="6"/>
  <c r="J10" i="6" s="1"/>
  <c r="E131" i="6" l="1"/>
  <c r="I131" i="6" s="1"/>
  <c r="J131" i="6" s="1"/>
  <c r="I100" i="6"/>
  <c r="J100" i="6" s="1"/>
  <c r="J99" i="6" s="1"/>
  <c r="J21" i="6"/>
  <c r="J96" i="6"/>
  <c r="J60" i="6"/>
  <c r="J17" i="6"/>
  <c r="J47" i="6"/>
  <c r="J15" i="6"/>
  <c r="J8" i="6"/>
  <c r="J106" i="6"/>
  <c r="I26" i="6"/>
  <c r="J26" i="6" s="1"/>
  <c r="E128" i="6" l="1"/>
  <c r="I128" i="6" s="1"/>
  <c r="J128" i="6" s="1"/>
  <c r="J104" i="6"/>
  <c r="E130" i="6"/>
  <c r="I130" i="6" s="1"/>
  <c r="J130" i="6" s="1"/>
  <c r="J56" i="6"/>
  <c r="J25" i="6"/>
  <c r="E127" i="6" l="1"/>
  <c r="I127" i="6" s="1"/>
  <c r="J127" i="6" s="1"/>
  <c r="E129" i="6"/>
  <c r="I129" i="6" s="1"/>
  <c r="J129" i="6" s="1"/>
  <c r="J126"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author>
  </authors>
  <commentList>
    <comment ref="E3" authorId="0" shapeId="0" xr:uid="{231B4A3A-637C-4282-8B64-DF788879F6F9}">
      <text>
        <r>
          <rPr>
            <b/>
            <sz val="9"/>
            <color indexed="81"/>
            <rFont val="Tahoma"/>
            <family val="2"/>
          </rPr>
          <t>PC:</t>
        </r>
        <r>
          <rPr>
            <sz val="9"/>
            <color indexed="81"/>
            <rFont val="Tahoma"/>
            <family val="2"/>
          </rPr>
          <t xml:space="preserve">
Khối lượng chia theo tỉ lệ diện tích sàn xây dựng 2 BCH</t>
        </r>
      </text>
    </comment>
    <comment ref="G7" authorId="0" shapeId="0" xr:uid="{0000E33B-AD23-4ADD-A895-06F655C58FB7}">
      <text>
        <r>
          <rPr>
            <b/>
            <sz val="9"/>
            <color indexed="81"/>
            <rFont val="Tahoma"/>
            <family val="2"/>
          </rPr>
          <t>PC:</t>
        </r>
        <r>
          <rPr>
            <sz val="9"/>
            <color indexed="81"/>
            <rFont val="Tahoma"/>
            <family val="2"/>
          </rPr>
          <t xml:space="preserve">
Gửi chị Huyền:Ở đây tường ngoài nhà là tường 150 em chưa rõ tỉ lệ gạch đặc, gạch rỗng ntn</t>
        </r>
      </text>
    </comment>
    <comment ref="G14" authorId="0" shapeId="0" xr:uid="{7EBE3EA2-B5F2-47FF-805A-7E9E28017BDA}">
      <text>
        <r>
          <rPr>
            <b/>
            <sz val="9"/>
            <color indexed="81"/>
            <rFont val="Tahoma"/>
            <family val="2"/>
          </rPr>
          <t>PC:</t>
        </r>
        <r>
          <rPr>
            <sz val="9"/>
            <color indexed="81"/>
            <rFont val="Tahoma"/>
            <family val="2"/>
          </rPr>
          <t xml:space="preserve">
Gửi chị Huyền:Ở đây tường ngoài nhà là tường 150 em chưa rõ tỉ lệ gạch đặc, gạch rỗng ntn</t>
        </r>
      </text>
    </comment>
    <comment ref="D19" authorId="0" shapeId="0" xr:uid="{AE6B49A3-F659-46EC-93D1-AF3205084961}">
      <text>
        <r>
          <rPr>
            <b/>
            <sz val="9"/>
            <color indexed="81"/>
            <rFont val="Tahoma"/>
            <family val="2"/>
          </rPr>
          <t>PC:</t>
        </r>
        <r>
          <rPr>
            <sz val="9"/>
            <color indexed="81"/>
            <rFont val="Tahoma"/>
            <family val="2"/>
          </rPr>
          <t xml:space="preserve">
Số cũ: 69250,38936</t>
        </r>
      </text>
    </comment>
  </commentList>
</comments>
</file>

<file path=xl/sharedStrings.xml><?xml version="1.0" encoding="utf-8"?>
<sst xmlns="http://schemas.openxmlformats.org/spreadsheetml/2006/main" count="1530" uniqueCount="358">
  <si>
    <t>STT</t>
  </si>
  <si>
    <t>Nội dung công việc</t>
  </si>
  <si>
    <t>Đơn vị</t>
  </si>
  <si>
    <t>Số lượng</t>
  </si>
  <si>
    <t>Kích thước</t>
  </si>
  <si>
    <t>Hệ số</t>
  </si>
  <si>
    <t>Khối lượng tổng</t>
  </si>
  <si>
    <t>Ghi chú</t>
  </si>
  <si>
    <t xml:space="preserve">Dài </t>
  </si>
  <si>
    <t xml:space="preserve">Rộng </t>
  </si>
  <si>
    <t>Cao</t>
  </si>
  <si>
    <t>CHI TIẾT KHỐI LƯỢNG PHẦN HOÀN THIỆN ( XÂY TRÁT, SƠN BẢ TRONG NHÀ, LAN CAN, TRẦN, CỬA….)</t>
  </si>
  <si>
    <t>m2</t>
  </si>
  <si>
    <t>Trừ cửa</t>
  </si>
  <si>
    <t>m3</t>
  </si>
  <si>
    <t>BẢNG TỔNG HỢP KHỐI LƯỢNG HOÀN THIỆN</t>
  </si>
  <si>
    <t xml:space="preserve">DỰ ÁN: </t>
  </si>
  <si>
    <t xml:space="preserve">ĐỊA ĐIỂM: </t>
  </si>
  <si>
    <t>HẠNG MỤC HOÀN THIỆN</t>
  </si>
  <si>
    <t>I</t>
  </si>
  <si>
    <t>Phần xây thô</t>
  </si>
  <si>
    <t>Tường ngoài nhà</t>
  </si>
  <si>
    <t xml:space="preserve">lỗ </t>
  </si>
  <si>
    <t>Tường trong nhà</t>
  </si>
  <si>
    <t>Xây gạch nung đặc, xây tường thẳng, tường &lt;=220 (tỷ lệ gạch đặc bằng 20% khối lượng tường xây), vữa XM mác 50 ( trong nhà)</t>
  </si>
  <si>
    <t>Xây gạch nung lỗ, xây tường thẳng, tường &lt;=220 (tỷ lệ gạch đặc bằng 80% khối lượng tường xây), vữa XM mác 50 (trong nhà)</t>
  </si>
  <si>
    <t>Xây gạch nung đặc, xây hộp kỹ thuật, vữa XM mác 50</t>
  </si>
  <si>
    <t>Tường Acotec</t>
  </si>
  <si>
    <t>m</t>
  </si>
  <si>
    <t>Lanh tô</t>
  </si>
  <si>
    <t>Bê tông lanh tô đá 1x2, mác 200, giằng tường, trụ tường, cột phụ</t>
  </si>
  <si>
    <t>Ván khuôn lanh tô, giằng tường, trụ tường, cột phụ</t>
  </si>
  <si>
    <t>Cốt thép lanh tô, giằng, trụ tường, cột phụ</t>
  </si>
  <si>
    <t>kg</t>
  </si>
  <si>
    <t>II</t>
  </si>
  <si>
    <t>Trát ngoài nhà</t>
  </si>
  <si>
    <t>Trát tường ngoài, dày 2,0 cm, vữa XM mác 75</t>
  </si>
  <si>
    <t>Trát tường bê tông ngoài nhà, dày 2,0cm, vữa XM mác 75</t>
  </si>
  <si>
    <t>Trát xà dầm, trần dày 2,0cm, vữa XM mác 75</t>
  </si>
  <si>
    <t>Trát má cửa, bậu cửa ngoài nhà, dày 2,0cm, vữa XM mác 75</t>
  </si>
  <si>
    <t>Trát gờ, phào ngoài nhà, vữa XM mác 75</t>
  </si>
  <si>
    <t>Cắt chỉ lõm tường ngoài nhà</t>
  </si>
  <si>
    <t>Đóng lưới trước khi trát tại các vị trí tiếp giáp dầm với tường, cột với tường</t>
  </si>
  <si>
    <t>Trát trong nhà</t>
  </si>
  <si>
    <t>Trát tường trong, dày 1,5cm, vữa XM mác 75</t>
  </si>
  <si>
    <t>Trát tường bê tông trong nhà, dày 1,5cm, vữa XM mác 75</t>
  </si>
  <si>
    <t>Trát trụ cột, lam đứng, dày 1,5cm, vữa XM mác 75</t>
  </si>
  <si>
    <t>Trát má cửa dày 1,5cm, vữa XM mác 75</t>
  </si>
  <si>
    <t>Trát xà dầm, trần 1,5cm, vữa XM mác 75</t>
  </si>
  <si>
    <t>Đóng lưới trước khi trát tại các vị trí tiếp giáp dầm với tường; cột với tường</t>
  </si>
  <si>
    <t>Miết khe Panel khu logia</t>
  </si>
  <si>
    <t>III</t>
  </si>
  <si>
    <t>Chống thấm, chống nóng mái</t>
  </si>
  <si>
    <t>Láng nền sàn mái không đánh màu dày 3cm, vữa XM mác 75# bảo vệ lớp chống thấm</t>
  </si>
  <si>
    <t>Xốp chống nóng XPS dày 50mm</t>
  </si>
  <si>
    <t>Lớp nilon chống mất nước</t>
  </si>
  <si>
    <t>Sơn bả</t>
  </si>
  <si>
    <t>V</t>
  </si>
  <si>
    <t>Công tác cửa</t>
  </si>
  <si>
    <t>Cửa gỗ</t>
  </si>
  <si>
    <r>
      <t xml:space="preserve">Cửa chính căn hộ </t>
    </r>
    <r>
      <rPr>
        <sz val="12"/>
        <color rgb="FFFF0000"/>
        <rFont val="Times New Roman"/>
        <family val="1"/>
      </rPr>
      <t>(KT: 1100x2200)</t>
    </r>
    <r>
      <rPr>
        <sz val="12"/>
        <rFont val="Times New Roman"/>
        <family val="1"/>
      </rPr>
      <t>, cửa gỗ công nghiệp khung xương keo/thông ghép thanh, MGO dày 5mm chống cháy 60 phút,  lớp MDF  chống ẩm dày 6mm phủ melamine Minh Long/ An Cường, khóa tay gạt Việt Tiệp/ Huy Hoàng</t>
    </r>
  </si>
  <si>
    <t>bộ</t>
  </si>
  <si>
    <r>
      <t xml:space="preserve">Cửa phòng ngủ </t>
    </r>
    <r>
      <rPr>
        <sz val="12"/>
        <color rgb="FFFF0000"/>
        <rFont val="Times New Roman"/>
        <family val="1"/>
      </rPr>
      <t>(KT: 900x2200)</t>
    </r>
    <r>
      <rPr>
        <sz val="12"/>
        <rFont val="Times New Roman"/>
        <family val="1"/>
      </rPr>
      <t>, cửa gỗ công nghiệp, khóa tay nắm Việt Tiệp/Huy Hoàng</t>
    </r>
  </si>
  <si>
    <t>Cửa nhựa UPVC</t>
  </si>
  <si>
    <r>
      <t>Cửa đi vệ sinh</t>
    </r>
    <r>
      <rPr>
        <sz val="12"/>
        <color rgb="FFFF0000"/>
        <rFont val="Times New Roman"/>
        <family val="1"/>
      </rPr>
      <t xml:space="preserve"> (KT: 800x2200)</t>
    </r>
    <r>
      <rPr>
        <sz val="12"/>
        <rFont val="Times New Roman"/>
        <family val="1"/>
      </rPr>
      <t>, cửa nhựa gỗ composite có bề mặt phủ vân gỗ PVC</t>
    </r>
  </si>
  <si>
    <t>Cửa thép chống cháy</t>
  </si>
  <si>
    <t>Chi phí tem kiểm định PCCC cho lô cửa 70 phút</t>
  </si>
  <si>
    <t>Cửa, vách nhôm kính</t>
  </si>
  <si>
    <r>
      <t xml:space="preserve">Vách kính kèm cửa đi thủy lực </t>
    </r>
    <r>
      <rPr>
        <sz val="12"/>
        <color rgb="FFFF0000"/>
        <rFont val="Times New Roman"/>
        <family val="1"/>
      </rPr>
      <t>sảnh, sảnh chung cư, sinh hoạt cộng đồng tầng 1</t>
    </r>
    <r>
      <rPr>
        <sz val="12"/>
        <rFont val="Times New Roman"/>
        <family val="1"/>
      </rPr>
      <t xml:space="preserve"> (cửa vách kính thủy lực, kính cường lực dày 10mm + vách hệ nhôm kính định hình Việt Pháp, kính dán an toàn dày 8,38mm</t>
    </r>
  </si>
  <si>
    <t>Vách kính cố định tầng 1 (khuôn nhôm sơn 2 lớp tĩnh điện màu ghi xám, kính dán 2 lớp an toàn dày 10.38mm)</t>
  </si>
  <si>
    <t>Cửa đi nhôm kính định hình Việt Pháp, cửa đi 1 cánh mở quay phòng trực PCCC, dịch vụ thương mại tầng 1, ban công căn hộ, kính dán an toàn dày 6,38mm
Nhôm Việt Pháp hệ 4400 dày 1.2mm, phụ kiện đơn điểm Chugn</t>
  </si>
  <si>
    <t>Vách kính kèm cửa sổ mở hất hành lang các tầng, khuôn nhôm sơn 2 lớp tĩnh điện màu ghi xám, kính dán 2 lớp an toàn dày 10.38mm</t>
  </si>
  <si>
    <t>Vách kính kèm cửa sổ mở hất phòng ngủ căn hộ các tầng, khuôn nhôm sơn 2 lớp tĩnh điện màu ghi xám, kính dán 2 lớp an toàn dày 10.38mm</t>
  </si>
  <si>
    <t>VI</t>
  </si>
  <si>
    <t>Sàn gỗ</t>
  </si>
  <si>
    <t>Len gỗ công nghiệp, nhựa PVC cao 80mm, dày 8mm</t>
  </si>
  <si>
    <t>Nẹp sàn kỹ thuật (T hoặc F)</t>
  </si>
  <si>
    <t>VII</t>
  </si>
  <si>
    <t>Công tác kim loại (ban công, logia, cầu thang, mái kính…)</t>
  </si>
  <si>
    <t>Lan can sắt thang thoát hiểm, sơn dầu hoàn thiện</t>
  </si>
  <si>
    <r>
      <t xml:space="preserve">Lan can sắt ban công, logia các căn hộ, tầng thương mại, tầng mái…, sơn </t>
    </r>
    <r>
      <rPr>
        <sz val="12"/>
        <color rgb="FFFF0000"/>
        <rFont val="Times New Roman"/>
        <family val="1"/>
      </rPr>
      <t>tĩnh điện</t>
    </r>
    <r>
      <rPr>
        <sz val="12"/>
        <rFont val="Times New Roman"/>
        <family val="1"/>
      </rPr>
      <t xml:space="preserve"> hoàn thiện</t>
    </r>
  </si>
  <si>
    <t>Lan can inox đường dốc người tàn tật</t>
  </si>
  <si>
    <t>Mái kính sảnh tầng 1</t>
  </si>
  <si>
    <t>Nắp ghi gang mương thu nước</t>
  </si>
  <si>
    <t>Nắp thăm bể nước PCCC, bể nước sinh hoạt…</t>
  </si>
  <si>
    <t>cái</t>
  </si>
  <si>
    <t>Thang leo bể nước PCCC, bể nước sinh hoạt…</t>
  </si>
  <si>
    <t>VIII</t>
  </si>
  <si>
    <t>Công tác khác</t>
  </si>
  <si>
    <t>Xoa đánh mặt sàn bê tông bằng máy không phụ gia tăng cứng khu vực để xe, ram dốc</t>
  </si>
  <si>
    <t>Xẻ rãnh chống trượt ram dốc</t>
  </si>
  <si>
    <t>Vách ngăn compact nhà vệ sinh chung tầng 1</t>
  </si>
  <si>
    <t>Vệ sinh công nghiệp bàn giao</t>
  </si>
  <si>
    <t>Khối lượng tổng 1 chi tiết</t>
  </si>
  <si>
    <t>Thang bộ cạnh căn số 13</t>
  </si>
  <si>
    <t>Thang bộ cạnh căn 17</t>
  </si>
  <si>
    <t>Xây bậc cầu thang</t>
  </si>
  <si>
    <t>Thang bộ cạnh căn 13</t>
  </si>
  <si>
    <t>Trát mặt bậc, cổ bậc và mặt bên bậc thang dày 2cm, mác 75</t>
  </si>
  <si>
    <t>Trát đáy thang 1,5cm, mác 75</t>
  </si>
  <si>
    <t>Bản thang</t>
  </si>
  <si>
    <t>Hành lang</t>
  </si>
  <si>
    <t>Khu thang bộ cạnh căn 13</t>
  </si>
  <si>
    <t>Khoan cắm thép sử dụng hóa chất Ramset G5 hoặc tương đương, đường kính thép D10, L=100</t>
  </si>
  <si>
    <t>Dầm với tường xây</t>
  </si>
  <si>
    <t>Cột với tường xây</t>
  </si>
  <si>
    <t>trừ cửa</t>
  </si>
  <si>
    <t>Bả tường Acotec trong nhà
02 lớp Bột bả nội thất</t>
  </si>
  <si>
    <t>Sơn tường trong nhà có bả (sảnh thang máy; hành lang các tầng; tường bên trong căn hộ; ban công, lô gia căn hộ; phòng sinh hoạt cộng đồng, phòng QLTN+PCCC)
1 lớp Sơn Lót nội thất chống kiềm + 2 lớp Sơn phủ nội thất</t>
  </si>
  <si>
    <t>Sơn tường trong nhà không bả (thang thoát hiểm; phòng rác; trần ban công, lô gia căn hộ, trần tầng mái)
1 lớp Sơn Lót nội thất chống kiềm + 2 lớp Sơn phủ nội thất</t>
  </si>
  <si>
    <t>lỗ khoan</t>
  </si>
  <si>
    <t>Khoan cắm thép sử dụng hóa chất Ramset G5 hoặc tương đương, đường kính thép D14, L=140</t>
  </si>
  <si>
    <r>
      <t xml:space="preserve">Cửa thép chống cháy &gt;60 phút, cửa 2 cánh, kích thước: </t>
    </r>
    <r>
      <rPr>
        <sz val="12"/>
        <color rgb="FFFF0000"/>
        <rFont val="Times New Roman"/>
        <family val="1"/>
      </rPr>
      <t>1300x2200mm</t>
    </r>
    <r>
      <rPr>
        <sz val="12"/>
        <rFont val="Times New Roman"/>
        <family val="1"/>
      </rPr>
      <t xml:space="preserve"> (thang thoát hiểm)</t>
    </r>
  </si>
  <si>
    <r>
      <t xml:space="preserve">Cửa thép chống cháy &gt;60 phút, cửa 1 cánh, kích thước: </t>
    </r>
    <r>
      <rPr>
        <sz val="12"/>
        <color rgb="FFFF0000"/>
        <rFont val="Times New Roman"/>
        <family val="1"/>
      </rPr>
      <t>800x2200mm</t>
    </r>
    <r>
      <rPr>
        <sz val="12"/>
        <rFont val="Times New Roman"/>
        <family val="1"/>
      </rPr>
      <t xml:space="preserve"> (phòng kỹ thuật)</t>
    </r>
  </si>
  <si>
    <r>
      <t xml:space="preserve">Cửa thép chống cháy &gt;60 phút, cửa 1 cánh, kích thước: </t>
    </r>
    <r>
      <rPr>
        <sz val="12"/>
        <color rgb="FFFF0000"/>
        <rFont val="Times New Roman"/>
        <family val="1"/>
      </rPr>
      <t>900x2200mm</t>
    </r>
    <r>
      <rPr>
        <sz val="12"/>
        <rFont val="Times New Roman"/>
        <family val="1"/>
      </rPr>
      <t xml:space="preserve"> (phòng kỹ thuật)</t>
    </r>
  </si>
  <si>
    <r>
      <t xml:space="preserve">Cửa thép chống cháy &gt;60 phút, cửa 1 cánh, kích thước: </t>
    </r>
    <r>
      <rPr>
        <sz val="12"/>
        <color rgb="FFFF0000"/>
        <rFont val="Times New Roman"/>
        <family val="1"/>
      </rPr>
      <t xml:space="preserve">1100x2200mm </t>
    </r>
    <r>
      <rPr>
        <sz val="12"/>
        <rFont val="Times New Roman"/>
        <family val="1"/>
      </rPr>
      <t>(phòng vệ sinh công cộng)</t>
    </r>
  </si>
  <si>
    <r>
      <t xml:space="preserve">Cửa thép phòng kỹ thuật, cửa 2 cánh, kích thước: </t>
    </r>
    <r>
      <rPr>
        <sz val="12"/>
        <color rgb="FFFF0000"/>
        <rFont val="Times New Roman"/>
        <family val="1"/>
      </rPr>
      <t>1500x2200mm</t>
    </r>
    <r>
      <rPr>
        <sz val="12"/>
        <rFont val="Times New Roman"/>
        <family val="1"/>
      </rPr>
      <t xml:space="preserve"> (phòng kỹ thuật)</t>
    </r>
  </si>
  <si>
    <r>
      <t xml:space="preserve">Cửa thép phòng kỹ thuật, cửa 2 cánh, kích thước: </t>
    </r>
    <r>
      <rPr>
        <sz val="12"/>
        <color rgb="FFFF0000"/>
        <rFont val="Times New Roman"/>
        <family val="1"/>
      </rPr>
      <t>1600x2200mm</t>
    </r>
    <r>
      <rPr>
        <sz val="12"/>
        <rFont val="Times New Roman"/>
        <family val="1"/>
      </rPr>
      <t xml:space="preserve"> (phòng kỹ thuật)</t>
    </r>
  </si>
  <si>
    <t>Cửa đi nhôm kính định hình Việt Pháp, cửa đi 2 cánh mở cánh trượt+vách kính, cửa ban công căn hộ</t>
  </si>
  <si>
    <r>
      <t xml:space="preserve">Cửa sổ nhôm kính mở lùa phòng ngủ căn hộ các tầng. Khuôn nhôm, sơn 2 lớp tĩnh điện màu ghi xám, kính dán 2 lớp an toàn màu trắng trong dày 6,38mm </t>
    </r>
    <r>
      <rPr>
        <sz val="12"/>
        <color rgb="FFFF0000"/>
        <rFont val="Times New Roman"/>
        <family val="1"/>
      </rPr>
      <t>(vị trí giáp hành lang)</t>
    </r>
  </si>
  <si>
    <t>Cửa louver, lá chớp nhôm dày 1.2mm a60mm</t>
  </si>
  <si>
    <r>
      <t>Sàn gỗ công nghiệp (</t>
    </r>
    <r>
      <rPr>
        <sz val="12"/>
        <color rgb="FFFF0000"/>
        <rFont val="Times New Roman"/>
        <family val="1"/>
      </rPr>
      <t>phòng khách, phòng bếp, phòng ngủ các căn hộ</t>
    </r>
    <r>
      <rPr>
        <sz val="12"/>
        <rFont val="Times New Roman"/>
        <family val="1"/>
      </rPr>
      <t>), ván sàn dày 12mm, phủ melamin độ cứng AC3</t>
    </r>
  </si>
  <si>
    <t>Tủ bếp</t>
  </si>
  <si>
    <t>Tủ bếp trên, dưới (cánh tủ, thùng tủ gỗ MFC chống ẩm dày 18mm, hậu tủ aluminum dày 3mm, bản lề có giảm chấn lắp thường newera 628)</t>
  </si>
  <si>
    <t>md</t>
  </si>
  <si>
    <t>Bàn đá bệ bếp dày 18+/-1mm (bao gồm khoét lỗ, mài cạnh, lắp đặt hoàn thiện)</t>
  </si>
  <si>
    <t>Kính ốp bếp glass cote dày 8mm khổ 600mm (cường lực, chịu nhiệt), sử dụng keo Apolo A500 hoặc A600</t>
  </si>
  <si>
    <t>IX</t>
  </si>
  <si>
    <t>Bàn đá Lavabo tầng 1</t>
  </si>
  <si>
    <t>Cát tôn nền đầm chặt vị trí tam cấp sảnh, đầm chặt K90</t>
  </si>
  <si>
    <t>Dải nilong chống mất nước</t>
  </si>
  <si>
    <t>Bê tông tam cấp sảnh dày 100mm, mác 200</t>
  </si>
  <si>
    <t>Cốt thép tam cấp sảnh</t>
  </si>
  <si>
    <t>Ván khuôn tam cấp sảnh</t>
  </si>
  <si>
    <t>100m2</t>
  </si>
  <si>
    <t>Sơn kẻ vạch giao thông và hệ thống kiểm soát đỗ xe tầng hầm</t>
  </si>
  <si>
    <t>X</t>
  </si>
  <si>
    <t>Biện pháp giáo ngoài</t>
  </si>
  <si>
    <t xml:space="preserve">KL </t>
  </si>
  <si>
    <t>Khu thang máy</t>
  </si>
  <si>
    <t>Trần khu thang máy</t>
  </si>
  <si>
    <t>Trần khu thang bộ cạnh căn 13</t>
  </si>
  <si>
    <t>Tường bê tông</t>
  </si>
  <si>
    <t>Má Cửa</t>
  </si>
  <si>
    <t>Trụ cột</t>
  </si>
  <si>
    <t>Xà, dầm, trần</t>
  </si>
  <si>
    <t>Tầng 2</t>
  </si>
  <si>
    <t>Tầng mái</t>
  </si>
  <si>
    <t>*</t>
  </si>
  <si>
    <t>Sơn tường ngoài nhà có bả</t>
  </si>
  <si>
    <t>Lo gia căn 12</t>
  </si>
  <si>
    <t>Trừ lan can</t>
  </si>
  <si>
    <t>Lo gia căn 13</t>
  </si>
  <si>
    <t>Lo gia căn 11</t>
  </si>
  <si>
    <t>Lo gia căn 14</t>
  </si>
  <si>
    <t>Lo gia căn 15</t>
  </si>
  <si>
    <t>Lo gia căn 16</t>
  </si>
  <si>
    <t>Lo gia căn 17</t>
  </si>
  <si>
    <t>Lo gia căn 01</t>
  </si>
  <si>
    <t>Lo gia căn 02</t>
  </si>
  <si>
    <t>Lo gia căn 18</t>
  </si>
  <si>
    <t>Lo gia căn 20</t>
  </si>
  <si>
    <t>Lo gia căn 03</t>
  </si>
  <si>
    <t>Lo gia căn 04</t>
  </si>
  <si>
    <t>Lo gia căn 05</t>
  </si>
  <si>
    <t>Lo gia căn 06</t>
  </si>
  <si>
    <t>Lo gia căn 07</t>
  </si>
  <si>
    <t>Lo gia căn 08</t>
  </si>
  <si>
    <t>Lo gia căn 09</t>
  </si>
  <si>
    <t>Lo gia căn 10</t>
  </si>
  <si>
    <t>PKT</t>
  </si>
  <si>
    <t>Khu thang bộ trục 13</t>
  </si>
  <si>
    <t>Tầng 3-7</t>
  </si>
  <si>
    <t>Tầng 8-15</t>
  </si>
  <si>
    <t>Tầng 16</t>
  </si>
  <si>
    <t>Tầng 17-19</t>
  </si>
  <si>
    <t>Tầng 20</t>
  </si>
  <si>
    <t>PN1</t>
  </si>
  <si>
    <t>Chiều cao sơn bả tường trong nhà</t>
  </si>
  <si>
    <t>PN2</t>
  </si>
  <si>
    <t>PK</t>
  </si>
  <si>
    <t>Trừ cửa DG2</t>
  </si>
  <si>
    <t>Trừ cửa DK</t>
  </si>
  <si>
    <t>Trừ cửa DW</t>
  </si>
  <si>
    <t>Trừ cửa lùa logia</t>
  </si>
  <si>
    <t>Trừ cửa DGC1</t>
  </si>
  <si>
    <t>Trừ cửa CS7</t>
  </si>
  <si>
    <t>Trừ cửa CS4</t>
  </si>
  <si>
    <t>Trừ cửa DK1</t>
  </si>
  <si>
    <t>Trừ vách kính WC</t>
  </si>
  <si>
    <t>Căn hộ loại D (CH02; CH11; CH23; CH32; CH03; CH12; CH24; CH33)</t>
  </si>
  <si>
    <t>Căn hộ loại C (CH09; CH30)</t>
  </si>
  <si>
    <t>Căn hộ loại A (CH10; CH08; CH06; CH23; CH15; CH37; CH22; CH28; CH25; CH07; CH04; CH01; CH16; CH31; CH29; CH27; CH34; CH36)</t>
  </si>
  <si>
    <t>Căn hộ loại E (CH18; CH19; CH20; CH21)</t>
  </si>
  <si>
    <t>Căn hộ loại B (CH14; CH17)</t>
  </si>
  <si>
    <t>Căn hộ loại G (CH35; CH38)</t>
  </si>
  <si>
    <t>Căn hộ loại F (CH05; CH26)</t>
  </si>
  <si>
    <t>Tính căn 12</t>
  </si>
  <si>
    <t>Tính căn 15</t>
  </si>
  <si>
    <t>Tính căn 17</t>
  </si>
  <si>
    <t>Tính căn 09</t>
  </si>
  <si>
    <t>Trừ cửa lùa logia DK2*</t>
  </si>
  <si>
    <t>Tính căn 18</t>
  </si>
  <si>
    <t>Tính căn 35</t>
  </si>
  <si>
    <t>Tính căn 05</t>
  </si>
  <si>
    <t>CHI TIẾT KHỐI LƯỢNG PHẦN HOÀN THIỆN ( SƠN BẢ TRONG NHÀ, NGOÀI NHÀ.)</t>
  </si>
  <si>
    <t>Hành lang dài dọc nhà</t>
  </si>
  <si>
    <t>KHỐI LƯỢNG HOÀN THIỆN</t>
  </si>
  <si>
    <t>NỘI DUNG CÔNG VIỆC</t>
  </si>
  <si>
    <t>ĐVT</t>
  </si>
  <si>
    <t xml:space="preserve">TỔNG KHỐI LƯỢNG </t>
  </si>
  <si>
    <t>BCH THP</t>
  </si>
  <si>
    <t>BCH Mr Lâm</t>
  </si>
  <si>
    <t>GHI CHÚ</t>
  </si>
  <si>
    <t>C.</t>
  </si>
  <si>
    <t>I).</t>
  </si>
  <si>
    <t>Xây tường thẳng ngoài nhà, tường =150, xây gạch đất nung, vữa XM mác 50</t>
  </si>
  <si>
    <t>Xây gờ, phào, chi tiết kiến trúc ngoài nhà, xây gạch đặc, vữa XM mác 50</t>
  </si>
  <si>
    <t>Xây cột trụ ngoài nhà, xây gạch đặc, vữa XM mác 50</t>
  </si>
  <si>
    <t>Xây bậc tam cấp ngoài nhà, xây gạch đặc, vữa XM mác 50</t>
  </si>
  <si>
    <t>Xây bồn hoa ngoài nhà, xây gạch đặc,vữa XM mác 50</t>
  </si>
  <si>
    <t>Khoan cắm râu thép tường noài nhà vào cột, vách, thép D8 L = 500</t>
  </si>
  <si>
    <t>Xây tường thẳng trong nhà, tường &lt;=220, gạch đặc, vữa XM mác 50</t>
  </si>
  <si>
    <t>Xây bậc cầu thang trong nhà, gạch đặc, vữa XM mác 50</t>
  </si>
  <si>
    <t>Xây hộp kỹ thuật trong nhà, gạch đặc, vữa XM mác 50</t>
  </si>
  <si>
    <t>Khoan cắm râu thép tường trong nhà vào cột, vách, thép D8 L = 500</t>
  </si>
  <si>
    <t>Lắp dựng tường Acotec dày 100 - Ngăn chia trong căn hộ, ngăn chia giữa căn hộ với hành lang &amp; giữa căn hộ với căn hộ</t>
  </si>
  <si>
    <t xml:space="preserve">Em điều chỉnh lại KL tấm tường </t>
  </si>
  <si>
    <t>Lắp đặt nẹp hợp kim nhôm MS20 (T20mm)</t>
  </si>
  <si>
    <t>Mạch liên kết cứng WC</t>
  </si>
  <si>
    <t>Vị trí</t>
  </si>
  <si>
    <t>Sau khi duyệt shopdrawing mới có khối lượng</t>
  </si>
  <si>
    <t>Bê tông lanh tô, giằng tường, trụ tường, cột phụ, gờ chân lan can lô gia, ban công, mác 200</t>
  </si>
  <si>
    <t>Ván khuôn lanh tô, giằng tường, trụ tường, cột phụ, gờ chân lô gia, ban công</t>
  </si>
  <si>
    <t>Cốt thép lanh tô, giằng, trụ tường, cột phụ, gờ chân lô gia, ban công</t>
  </si>
  <si>
    <t>Khoan cắm thép sử dụng hóa chất Ramset G5 hoặc tương đương, đường kính thép D20, L=200</t>
  </si>
  <si>
    <t>II).</t>
  </si>
  <si>
    <t>Phần trát</t>
  </si>
  <si>
    <t>Trát trụ cột, lam đứng ngoài nhà, dày 2,0 cm, vữa XM mác 75</t>
  </si>
  <si>
    <t>III).</t>
  </si>
  <si>
    <t>Phần ốp lát, cán nền</t>
  </si>
  <si>
    <t>Cán nền khu vực không lát nền (các phòng kỹ thuật), dày 3,0cm, vữa XM mác 75</t>
  </si>
  <si>
    <t>Cán nền khu vực lát sàn gỗ (phòng khách, phòng bếp, phòng ngủ các căn hộ), dày 3,5 cm, vữa XM mác 75</t>
  </si>
  <si>
    <t>Cán nền khu cầu thang thoát hiểm (chiếu tới, chiếu nghỉ), dày 2,0cm, vữa XM mác 75</t>
  </si>
  <si>
    <t>Lát gạch Granit 600x600mm (khu hành lang+sảnh thang máy tầng 1), vữa XM mác 75</t>
  </si>
  <si>
    <t>Lát đá Granite phân sàn, chân cửa, đá granite mầu xanh đen, dày 18+/-2mm, xuất xứ Campuchia</t>
  </si>
  <si>
    <t>Lát gạch Granite 600x600mm (phòng sinh hoạt cộng đồng; phòng trực PCCC; hành lang, sảnh thang tầng căn hộ; sảnh tầng tum), vữa XM mác 75</t>
  </si>
  <si>
    <t>Lát gạch Ceramic chống trơn 300x300mm (phòng rác; phòng vệ sinh công cộng; ban công, logia các căn hộ; phòng vệ sinh các căn hộ), vữa XM mác 75</t>
  </si>
  <si>
    <t>Lát đá Granite lối vào, bậc tam cấp, bậc thềm tầng 1</t>
  </si>
  <si>
    <t>Ốp gạch Ceramic 300x600mm (phòng rác cao 1,5m; khu vệ sinh công cộng cao 2,4m; khu vệ sinh các căn hộ cao 2,4m), vữa XM mác 75</t>
  </si>
  <si>
    <t>Ốp chân tường cao 100x600mm bằng gạch Granite (khu hành lang, sảnh thang máy tầng 1; phòng sinh hoạt cộng đồng)</t>
  </si>
  <si>
    <t>Ốp chân tường cao 100x300mm bằng gạch Granite (ban công, lô gia)</t>
  </si>
  <si>
    <t>Ốp đá Marble viền sảnh thang máy vữa XM mác 75, đá Marble vân gỗ/ nâu đen tự nhiên, dày 18±2mm, xuất xứ Trung Quốc</t>
  </si>
  <si>
    <t>Lát gạch Ceramic 600x600 (phòng bếp căn hộ, sinh hoạt cộng đồng; phòng trực PCCC), vữa XM mác 75</t>
  </si>
  <si>
    <t>Lát gạch lá nem chống trơn 400x400mm sàn ngoài trời bịt các đầu sảnh, hành lang</t>
  </si>
  <si>
    <t>Lưới thép hàn D5@200x200</t>
  </si>
  <si>
    <t>Lớp bê tông sàn mái tạo dốc mác 250# dày 80mm</t>
  </si>
  <si>
    <t>Sơn sần hoàn thiện tường ngoài nhà</t>
  </si>
  <si>
    <t>Căn hộ 03, căn hộ 24 tầng 20</t>
  </si>
  <si>
    <t>Tính căn 24</t>
  </si>
  <si>
    <t>PN3</t>
  </si>
  <si>
    <t>Trừ cửa sổ CS2</t>
  </si>
  <si>
    <t>PN</t>
  </si>
  <si>
    <t>Căn hộ loại D (CH02; CH11; CH23; CH32; CH12; CH33)</t>
  </si>
  <si>
    <t>Căn hộ loại A (CH10; CH08; CH06; CH23; CH15; CH37; CH22; CH28; CH07; CH01; CH16; CH31; CH29; CH27; CH34; CH36)</t>
  </si>
  <si>
    <t>I </t>
  </si>
  <si>
    <t xml:space="preserve">Sơn bả trong nhà </t>
  </si>
  <si>
    <t>Bả bằng bột bả vào cột, dầm, trần, tường trong nhà. Bả bằng 2 lớp, sử dụng bột bả nội thất</t>
  </si>
  <si>
    <t>Bả bằng bột bả vào tường Acotec trong nhà. Bả 2,5 lớp, sử dụng bột bả nội thất</t>
  </si>
  <si>
    <t>Sơn cột, dầm, trần tường không bả. Sơn 1 nước lót, 2 nước phủ sơn nội thất</t>
  </si>
  <si>
    <t>Sơn bả ngoài nhà</t>
  </si>
  <si>
    <t>Sơn cột, dầm, trần, tường ngoài nhà không bả. Sơn 1 nước lót, 2 nước phủ sơn ngoại thất</t>
  </si>
  <si>
    <t xml:space="preserve">Chi phí biện pháp thi công </t>
  </si>
  <si>
    <t>Thi công sơn bả bằng giáo gonedola, chi phí điện nước, vận thăng…. Phục vụ thi công, chi phí biện pháp thi công</t>
  </si>
  <si>
    <t xml:space="preserve"> </t>
  </si>
  <si>
    <t>Trừ cửa sổ CS1</t>
  </si>
  <si>
    <t>Trừ cửa CS3</t>
  </si>
  <si>
    <t>Trừ cửa CS5</t>
  </si>
  <si>
    <t>Má cửa</t>
  </si>
  <si>
    <t>Tầng Mái</t>
  </si>
  <si>
    <t>Tầng 1</t>
  </si>
  <si>
    <t>DVTM10</t>
  </si>
  <si>
    <t>Trừ VK1</t>
  </si>
  <si>
    <t>Trừ VK6</t>
  </si>
  <si>
    <t>DVTM9</t>
  </si>
  <si>
    <t>Trừ VK2</t>
  </si>
  <si>
    <t>DVTM8</t>
  </si>
  <si>
    <t>Trừ VK3</t>
  </si>
  <si>
    <t>DVTM7</t>
  </si>
  <si>
    <t>DVTM6</t>
  </si>
  <si>
    <t>DVTM5</t>
  </si>
  <si>
    <t>TRừ DK3</t>
  </si>
  <si>
    <t>TVTM4</t>
  </si>
  <si>
    <t>Trừ VK4</t>
  </si>
  <si>
    <t>TMDV3</t>
  </si>
  <si>
    <t>TMDV02</t>
  </si>
  <si>
    <t>Trừ VK5</t>
  </si>
  <si>
    <t>TMDV01</t>
  </si>
  <si>
    <t>Trừ VK7</t>
  </si>
  <si>
    <t>Trừ VK8</t>
  </si>
  <si>
    <t>Trừ VK9</t>
  </si>
  <si>
    <t>Trừ VK10</t>
  </si>
  <si>
    <t>VK8</t>
  </si>
  <si>
    <t>VK13</t>
  </si>
  <si>
    <t>VK9</t>
  </si>
  <si>
    <t>Phòng SHCĐ</t>
  </si>
  <si>
    <t>Phòng KT</t>
  </si>
  <si>
    <t>TỔNG HỢP KHỐI LƯỢNG PHẦN HOÀN THIỆN ( SƠN BẢ TRONG NHÀ, NGOÀI NHÀ.)</t>
  </si>
  <si>
    <t>Tầng hầm 1</t>
  </si>
  <si>
    <t>Tầng hầm 2</t>
  </si>
  <si>
    <t>Sơn cột, dầm, tường đã bả. Sơn 1 nước lót, 2 nước phủ sơn nội thất</t>
  </si>
  <si>
    <t>LG1</t>
  </si>
  <si>
    <t>Trừ logia</t>
  </si>
  <si>
    <t>Mặt trên gờ logia+đáy dầm</t>
  </si>
  <si>
    <t>LG2</t>
  </si>
  <si>
    <t>Bả bẳng bột bả vào cột, dầm, tường ngoài nhà logia. Bả 2 lớp bằng bột bả ngoại thất</t>
  </si>
  <si>
    <t>Sơn cột, dầm,tường ngoài nhà đã bả khu vực logia. Sơn 1  nước lót, 2 nước phủ sơn ngoại thất</t>
  </si>
  <si>
    <t>Sơn cột, dầm,tường ngoài nhà không bả trần logia. Sơn 1  nước lót, 2 nước phủ sơn ngoại thất</t>
  </si>
  <si>
    <t>Hầm 2</t>
  </si>
  <si>
    <t>Phòng quạt</t>
  </si>
  <si>
    <t>Trục lấy gió+PKT</t>
  </si>
  <si>
    <t>Khu phòng kho</t>
  </si>
  <si>
    <t>Khu vách thang máy</t>
  </si>
  <si>
    <t>Tháp lấy gió trục A-B</t>
  </si>
  <si>
    <t>Tường cạnh đường dốc</t>
  </si>
  <si>
    <t>Tường ngăn cháy</t>
  </si>
  <si>
    <t>Hầm 1</t>
  </si>
  <si>
    <t>Phòng bơm</t>
  </si>
  <si>
    <t>Trục tăng áp</t>
  </si>
  <si>
    <t>Cụm thang bộ</t>
  </si>
  <si>
    <t>Cụm thang máy</t>
  </si>
  <si>
    <t>Tường khu thông tầng</t>
  </si>
  <si>
    <t xml:space="preserve">Thang bộ </t>
  </si>
  <si>
    <t>Trừ giao bản thang</t>
  </si>
  <si>
    <t>Đáy bản thang</t>
  </si>
  <si>
    <t>Đáy chiếu nghỉ</t>
  </si>
  <si>
    <t>Tường thang bộ</t>
  </si>
  <si>
    <t>Thang bộ 2</t>
  </si>
  <si>
    <t>Tường thang bộ 2</t>
  </si>
  <si>
    <t>Thang bộ 1</t>
  </si>
  <si>
    <t>Phòng rác</t>
  </si>
  <si>
    <t>Thang bộ TB2</t>
  </si>
  <si>
    <t>Thang bộ LT</t>
  </si>
  <si>
    <t>Tầng 2-20</t>
  </si>
  <si>
    <t>Tầng tum</t>
  </si>
  <si>
    <t>Sơn epoxy cầu thang</t>
  </si>
  <si>
    <t>IV</t>
  </si>
  <si>
    <t>Sơn epoxy cầu thang thoát hiểm</t>
  </si>
  <si>
    <t>Cầu thang TB2</t>
  </si>
  <si>
    <t>Hầm 2 lên hầm 1</t>
  </si>
  <si>
    <t>Mặt bậc</t>
  </si>
  <si>
    <t>Chiếu nghỉ</t>
  </si>
  <si>
    <t>Chiếu tới</t>
  </si>
  <si>
    <t>Hầm 1 lên tầng 1</t>
  </si>
  <si>
    <t>Tầng 1 lên tầng 2</t>
  </si>
  <si>
    <t>Tầng 2 đến mái</t>
  </si>
  <si>
    <t>Cầu thang TL</t>
  </si>
  <si>
    <t>Sơn epoxy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</si>
</sst>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_(* \(#,##0.00\);_(* &quot;-&quot;??_);_(@_)"/>
    <numFmt numFmtId="165" formatCode="_(* #,##0.000_);_(* \(#,##0.000\);_(* &quot;-&quot;???_);_(@_)"/>
    <numFmt numFmtId="166" formatCode="_(* #,##0_);_(* \(#,##0\);_(* &quot;-&quot;??_);_(@_)"/>
    <numFmt numFmtId="167" formatCode="#,##0.000"/>
    <numFmt numFmtId="168" formatCode="#,##0.0"/>
    <numFmt numFmtId="169" formatCode="_-* #,##0.00_ _F_-;\-* #,##0.00_ _F_-;_-* &quot;-&quot;??_ _F_-;_-@_-"/>
    <numFmt numFmtId="170" formatCode="_(* #,##0_);_(* \(#,##0\);_(* &quot;-&quot;_);_(@_)"/>
    <numFmt numFmtId="171" formatCode="_ * #,##0_ ;_ * \-#,##0_ ;_ * &quot;-&quot;??_ ;_ @_ "/>
    <numFmt numFmtId="172" formatCode="_(* #,##0.00_);_(* \(#,##0.00\);_(* &quot;-&quot;_);_(@_)"/>
  </numFmts>
  <fonts count="31">
    <font>
      <sz val="11"/>
      <color theme="1"/>
      <name val="Calibri"/>
      <family val="2"/>
      <scheme val="minor"/>
    </font>
    <font>
      <sz val="11"/>
      <color theme="1"/>
      <name val="Calibri"/>
      <family val="2"/>
      <scheme val="minor"/>
    </font>
    <font>
      <b/>
      <sz val="12"/>
      <name val="Times New Roman"/>
      <family val="1"/>
    </font>
    <font>
      <sz val="11"/>
      <color theme="1"/>
      <name val="Times New Roman"/>
      <family val="1"/>
    </font>
    <font>
      <b/>
      <sz val="11"/>
      <color theme="1"/>
      <name val="Times New Roman"/>
      <family val="1"/>
    </font>
    <font>
      <b/>
      <sz val="11"/>
      <color rgb="FFFF0000"/>
      <name val="Times New Roman"/>
      <family val="1"/>
    </font>
    <font>
      <i/>
      <sz val="11"/>
      <color theme="1"/>
      <name val="Times New Roman"/>
      <family val="1"/>
    </font>
    <font>
      <sz val="8.25"/>
      <name val="Microsoft Sans Serif"/>
      <family val="2"/>
    </font>
    <font>
      <b/>
      <sz val="16"/>
      <name val="Times New Roman"/>
      <family val="1"/>
    </font>
    <font>
      <sz val="13"/>
      <name val="Times New Roman"/>
      <family val="1"/>
    </font>
    <font>
      <b/>
      <sz val="11.5"/>
      <name val="Times New Roman"/>
      <family val="1"/>
    </font>
    <font>
      <b/>
      <sz val="8.25"/>
      <name val="Microsoft Sans Serif"/>
      <family val="2"/>
    </font>
    <font>
      <sz val="12"/>
      <name val="Times New Roman"/>
      <family val="1"/>
    </font>
    <font>
      <sz val="11"/>
      <color indexed="8"/>
      <name val="Calibri"/>
      <family val="2"/>
    </font>
    <font>
      <b/>
      <sz val="13"/>
      <name val="Times New Roman"/>
      <family val="1"/>
    </font>
    <font>
      <sz val="12"/>
      <color rgb="FFFF0000"/>
      <name val="Times New Roman"/>
      <family val="1"/>
    </font>
    <font>
      <sz val="10"/>
      <name val="Arial"/>
      <family val="2"/>
    </font>
    <font>
      <sz val="11"/>
      <color rgb="FFFF0000"/>
      <name val="Times New Roman"/>
      <family val="1"/>
    </font>
    <font>
      <sz val="9"/>
      <color indexed="81"/>
      <name val="Tahoma"/>
      <family val="2"/>
    </font>
    <font>
      <b/>
      <sz val="9"/>
      <color indexed="81"/>
      <name val="Tahoma"/>
      <family val="2"/>
    </font>
    <font>
      <b/>
      <sz val="14"/>
      <name val="Times New Roman"/>
      <family val="1"/>
    </font>
    <font>
      <sz val="14"/>
      <name val="Microsoft Sans Serif"/>
      <family val="2"/>
    </font>
    <font>
      <sz val="14"/>
      <name val="Times New Roman"/>
      <family val="1"/>
    </font>
    <font>
      <sz val="9"/>
      <name val="Geneva"/>
    </font>
    <font>
      <sz val="11"/>
      <name val="Calibri"/>
      <family val="2"/>
      <scheme val="minor"/>
    </font>
    <font>
      <b/>
      <sz val="12"/>
      <name val="Times New Roman"/>
      <family val="1"/>
      <charset val="163"/>
    </font>
    <font>
      <b/>
      <sz val="13"/>
      <name val="Times New Roman"/>
      <family val="1"/>
      <charset val="163"/>
    </font>
    <font>
      <b/>
      <sz val="8.25"/>
      <name val="Microsoft Sans Serif"/>
      <family val="2"/>
      <charset val="163"/>
    </font>
    <font>
      <b/>
      <sz val="16"/>
      <color theme="1"/>
      <name val="Times New Roman"/>
      <family val="1"/>
    </font>
    <font>
      <sz val="11"/>
      <name val="Times New Roman"/>
      <family val="1"/>
    </font>
    <font>
      <b/>
      <sz val="11"/>
      <name val="Times New Roman"/>
      <family val="1"/>
    </font>
  </fonts>
  <fills count="8">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5" tint="0.79998168889431442"/>
        <bgColor indexed="64"/>
      </patternFill>
    </fill>
  </fills>
  <borders count="10">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thin">
        <color indexed="64"/>
      </left>
      <right style="thin">
        <color indexed="64"/>
      </right>
      <top/>
      <bottom style="hair">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s>
  <cellStyleXfs count="9">
    <xf numFmtId="0" fontId="0" fillId="0" borderId="0"/>
    <xf numFmtId="164" fontId="1" fillId="0" borderId="0" applyFont="0" applyFill="0" applyBorder="0" applyAlignment="0" applyProtection="0"/>
    <xf numFmtId="0" fontId="7" fillId="0" borderId="0">
      <protection locked="0"/>
    </xf>
    <xf numFmtId="0" fontId="7" fillId="0" borderId="0">
      <protection locked="0"/>
    </xf>
    <xf numFmtId="0" fontId="7" fillId="0" borderId="0">
      <protection locked="0"/>
    </xf>
    <xf numFmtId="0" fontId="13" fillId="0" borderId="0"/>
    <xf numFmtId="0" fontId="16" fillId="0" borderId="0"/>
    <xf numFmtId="0" fontId="23" fillId="0" borderId="0"/>
    <xf numFmtId="169" fontId="23" fillId="0" borderId="0" applyFont="0" applyFill="0" applyBorder="0" applyAlignment="0" applyProtection="0"/>
  </cellStyleXfs>
  <cellXfs count="211">
    <xf numFmtId="0" fontId="0" fillId="0" borderId="0" xfId="0"/>
    <xf numFmtId="0" fontId="3" fillId="0" borderId="0" xfId="0" applyFont="1"/>
    <xf numFmtId="0" fontId="3" fillId="0" borderId="2" xfId="0" applyFont="1" applyBorder="1"/>
    <xf numFmtId="0" fontId="4" fillId="0" borderId="2" xfId="0" applyFont="1" applyBorder="1"/>
    <xf numFmtId="0" fontId="4" fillId="0" borderId="0" xfId="0" applyFont="1"/>
    <xf numFmtId="0" fontId="5" fillId="0" borderId="2" xfId="0" applyFont="1" applyBorder="1"/>
    <xf numFmtId="0" fontId="6" fillId="0" borderId="2" xfId="0" applyFont="1" applyBorder="1" applyAlignment="1">
      <alignment horizontal="right"/>
    </xf>
    <xf numFmtId="2" fontId="3" fillId="0" borderId="2" xfId="0" applyNumberFormat="1" applyFont="1" applyBorder="1"/>
    <xf numFmtId="0" fontId="9" fillId="3" borderId="0" xfId="2" applyFont="1" applyFill="1" applyAlignment="1">
      <alignment vertical="center"/>
      <protection locked="0"/>
    </xf>
    <xf numFmtId="0" fontId="7" fillId="0" borderId="0" xfId="0" applyFont="1" applyAlignment="1" applyProtection="1">
      <alignment vertical="top"/>
      <protection locked="0"/>
    </xf>
    <xf numFmtId="0" fontId="11" fillId="3" borderId="0" xfId="3" applyFont="1" applyFill="1" applyAlignment="1">
      <alignment vertical="top" wrapText="1"/>
      <protection locked="0"/>
    </xf>
    <xf numFmtId="0" fontId="9" fillId="3" borderId="0" xfId="2" applyFont="1" applyFill="1" applyBorder="1" applyAlignment="1">
      <alignment vertical="center" wrapText="1"/>
      <protection locked="0"/>
    </xf>
    <xf numFmtId="0" fontId="12" fillId="3" borderId="0" xfId="4" applyFont="1" applyFill="1" applyAlignment="1">
      <alignment horizontal="center" vertical="center"/>
      <protection locked="0"/>
    </xf>
    <xf numFmtId="0" fontId="2" fillId="0" borderId="3" xfId="4" applyFont="1" applyFill="1" applyBorder="1" applyAlignment="1" applyProtection="1">
      <alignment horizontal="center" vertical="center"/>
      <protection locked="0"/>
    </xf>
    <xf numFmtId="0" fontId="2" fillId="0" borderId="3" xfId="5" applyFont="1" applyFill="1" applyBorder="1" applyAlignment="1" applyProtection="1">
      <alignment horizontal="left" vertical="center" wrapText="1"/>
    </xf>
    <xf numFmtId="167" fontId="2" fillId="0" borderId="3" xfId="4" applyNumberFormat="1" applyFont="1" applyFill="1" applyBorder="1" applyAlignment="1" applyProtection="1">
      <alignment horizontal="center" vertical="center" wrapText="1"/>
    </xf>
    <xf numFmtId="3" fontId="2" fillId="0" borderId="3" xfId="4" applyNumberFormat="1" applyFont="1" applyFill="1" applyBorder="1" applyAlignment="1" applyProtection="1">
      <alignment horizontal="center" vertical="center" wrapText="1"/>
    </xf>
    <xf numFmtId="0" fontId="14" fillId="0" borderId="0" xfId="4" applyFont="1" applyFill="1" applyAlignment="1">
      <alignment vertical="center"/>
      <protection locked="0"/>
    </xf>
    <xf numFmtId="0" fontId="7" fillId="0" borderId="0" xfId="0" applyFont="1" applyFill="1" applyAlignment="1" applyProtection="1">
      <alignment vertical="top"/>
      <protection locked="0"/>
    </xf>
    <xf numFmtId="167" fontId="12" fillId="0" borderId="3" xfId="4" applyNumberFormat="1" applyFont="1" applyFill="1" applyBorder="1" applyAlignment="1" applyProtection="1">
      <alignment horizontal="center" vertical="center" wrapText="1"/>
    </xf>
    <xf numFmtId="3" fontId="12" fillId="0" borderId="3" xfId="4" applyNumberFormat="1" applyFont="1" applyFill="1" applyBorder="1" applyAlignment="1" applyProtection="1">
      <alignment horizontal="center" vertical="center" wrapText="1"/>
    </xf>
    <xf numFmtId="0" fontId="9" fillId="0" borderId="0" xfId="4" applyFont="1" applyFill="1" applyAlignment="1">
      <alignment vertical="center"/>
      <protection locked="0"/>
    </xf>
    <xf numFmtId="0" fontId="2" fillId="0" borderId="3" xfId="5" applyFont="1" applyFill="1" applyBorder="1" applyAlignment="1" applyProtection="1">
      <alignment horizontal="center" vertical="center" wrapText="1"/>
    </xf>
    <xf numFmtId="0" fontId="12" fillId="0" borderId="3" xfId="4" applyFont="1" applyFill="1" applyBorder="1" applyAlignment="1" applyProtection="1">
      <alignment horizontal="center" vertical="center"/>
      <protection locked="0"/>
    </xf>
    <xf numFmtId="0" fontId="12" fillId="0" borderId="3" xfId="5" applyFont="1" applyFill="1" applyBorder="1" applyAlignment="1" applyProtection="1">
      <alignment horizontal="left" vertical="center" wrapText="1"/>
    </xf>
    <xf numFmtId="3" fontId="15" fillId="0" borderId="3" xfId="4" applyNumberFormat="1" applyFont="1" applyFill="1" applyBorder="1" applyAlignment="1" applyProtection="1">
      <alignment horizontal="center" vertical="center" wrapText="1"/>
    </xf>
    <xf numFmtId="0" fontId="9" fillId="3" borderId="0" xfId="4" applyFont="1" applyFill="1" applyAlignment="1">
      <alignment vertical="center"/>
      <protection locked="0"/>
    </xf>
    <xf numFmtId="0" fontId="9" fillId="3" borderId="0" xfId="4" applyFont="1" applyFill="1" applyAlignment="1">
      <alignment vertical="center" wrapText="1"/>
      <protection locked="0"/>
    </xf>
    <xf numFmtId="0" fontId="9" fillId="3" borderId="0" xfId="4" applyFont="1" applyFill="1" applyAlignment="1">
      <alignment horizontal="center" vertical="center"/>
      <protection locked="0"/>
    </xf>
    <xf numFmtId="0" fontId="9" fillId="3" borderId="0" xfId="4" applyFont="1" applyFill="1" applyAlignment="1" applyProtection="1">
      <alignment vertical="center"/>
    </xf>
    <xf numFmtId="2" fontId="4" fillId="0" borderId="2" xfId="0" applyNumberFormat="1" applyFont="1" applyFill="1" applyBorder="1"/>
    <xf numFmtId="2" fontId="3" fillId="0" borderId="2" xfId="0" applyNumberFormat="1" applyFont="1" applyFill="1" applyBorder="1"/>
    <xf numFmtId="0" fontId="4" fillId="0" borderId="2" xfId="0" applyFont="1" applyBorder="1" applyAlignment="1">
      <alignment horizontal="left" wrapText="1"/>
    </xf>
    <xf numFmtId="0" fontId="4" fillId="0" borderId="2" xfId="0" applyFont="1" applyBorder="1" applyAlignment="1">
      <alignment vertical="center"/>
    </xf>
    <xf numFmtId="0" fontId="4" fillId="0" borderId="2" xfId="0" applyFont="1" applyBorder="1" applyAlignment="1">
      <alignment horizontal="left" vertical="center" wrapText="1"/>
    </xf>
    <xf numFmtId="2" fontId="4" fillId="0" borderId="2" xfId="0" applyNumberFormat="1" applyFont="1" applyFill="1" applyBorder="1" applyAlignment="1">
      <alignment vertical="center"/>
    </xf>
    <xf numFmtId="0" fontId="4" fillId="0" borderId="0" xfId="0" applyFont="1" applyAlignment="1">
      <alignment vertical="center"/>
    </xf>
    <xf numFmtId="0" fontId="3" fillId="0" borderId="2" xfId="0" applyFont="1" applyBorder="1" applyAlignment="1">
      <alignment horizontal="left" vertical="center" wrapText="1"/>
    </xf>
    <xf numFmtId="0" fontId="3" fillId="0" borderId="2" xfId="0" applyFont="1" applyBorder="1" applyAlignment="1">
      <alignment vertical="center"/>
    </xf>
    <xf numFmtId="0" fontId="17" fillId="0" borderId="2" xfId="0" applyFont="1" applyBorder="1"/>
    <xf numFmtId="0" fontId="6" fillId="0" borderId="2" xfId="0" applyFont="1" applyBorder="1" applyAlignment="1">
      <alignment horizontal="right" vertical="center" wrapText="1"/>
    </xf>
    <xf numFmtId="2" fontId="3" fillId="0" borderId="2" xfId="0" applyNumberFormat="1" applyFont="1" applyBorder="1" applyAlignment="1">
      <alignment vertical="center"/>
    </xf>
    <xf numFmtId="0" fontId="2" fillId="3" borderId="3" xfId="4" applyFont="1" applyFill="1" applyBorder="1" applyAlignment="1" applyProtection="1">
      <alignment horizontal="center" vertical="center"/>
      <protection locked="0"/>
    </xf>
    <xf numFmtId="0" fontId="2" fillId="3" borderId="3" xfId="5" applyFont="1" applyFill="1" applyBorder="1" applyAlignment="1" applyProtection="1">
      <alignment horizontal="left" vertical="center" wrapText="1"/>
    </xf>
    <xf numFmtId="167" fontId="2" fillId="3" borderId="3" xfId="4" applyNumberFormat="1" applyFont="1" applyFill="1" applyBorder="1" applyAlignment="1" applyProtection="1">
      <alignment horizontal="center" vertical="center" wrapText="1"/>
    </xf>
    <xf numFmtId="3" fontId="2" fillId="3" borderId="3" xfId="4" applyNumberFormat="1" applyFont="1" applyFill="1" applyBorder="1" applyAlignment="1" applyProtection="1">
      <alignment horizontal="center" vertical="center" wrapText="1"/>
    </xf>
    <xf numFmtId="0" fontId="14" fillId="3" borderId="0" xfId="4" applyFont="1" applyFill="1" applyAlignment="1">
      <alignment vertical="center"/>
      <protection locked="0"/>
    </xf>
    <xf numFmtId="0" fontId="3" fillId="4" borderId="2" xfId="0" applyFont="1" applyFill="1" applyBorder="1"/>
    <xf numFmtId="0" fontId="3" fillId="4" borderId="2" xfId="0" applyFont="1" applyFill="1" applyBorder="1" applyAlignment="1">
      <alignment vertical="center"/>
    </xf>
    <xf numFmtId="0" fontId="2" fillId="2" borderId="2" xfId="0" applyFont="1" applyFill="1" applyBorder="1" applyAlignment="1">
      <alignment horizontal="center" vertical="center" wrapText="1"/>
    </xf>
    <xf numFmtId="165" fontId="2" fillId="2" borderId="2" xfId="0" applyNumberFormat="1" applyFont="1" applyFill="1" applyBorder="1" applyAlignment="1">
      <alignment horizontal="center" vertical="center" wrapText="1"/>
    </xf>
    <xf numFmtId="0" fontId="3" fillId="0" borderId="2" xfId="0" applyFont="1" applyFill="1" applyBorder="1"/>
    <xf numFmtId="2" fontId="3" fillId="0" borderId="0" xfId="0" applyNumberFormat="1" applyFont="1"/>
    <xf numFmtId="0" fontId="3" fillId="0" borderId="2" xfId="0" applyFont="1" applyFill="1" applyBorder="1" applyAlignment="1">
      <alignment horizontal="left"/>
    </xf>
    <xf numFmtId="0" fontId="4" fillId="0" borderId="2" xfId="0" applyFont="1" applyBorder="1" applyAlignment="1">
      <alignment horizontal="center"/>
    </xf>
    <xf numFmtId="0" fontId="3" fillId="0" borderId="2" xfId="0" applyFont="1" applyBorder="1" applyAlignment="1">
      <alignment horizontal="center"/>
    </xf>
    <xf numFmtId="0" fontId="3" fillId="0" borderId="2" xfId="0" applyFont="1" applyFill="1" applyBorder="1" applyAlignment="1">
      <alignment horizontal="center"/>
    </xf>
    <xf numFmtId="0" fontId="3" fillId="0" borderId="0" xfId="0" applyFont="1" applyAlignment="1">
      <alignment horizontal="center"/>
    </xf>
    <xf numFmtId="0" fontId="4" fillId="5" borderId="2" xfId="0" applyFont="1" applyFill="1" applyBorder="1"/>
    <xf numFmtId="0" fontId="4" fillId="5" borderId="2" xfId="0" applyFont="1" applyFill="1" applyBorder="1" applyAlignment="1">
      <alignment horizontal="left" wrapText="1"/>
    </xf>
    <xf numFmtId="0" fontId="4" fillId="5" borderId="2" xfId="0" applyFont="1" applyFill="1" applyBorder="1" applyAlignment="1">
      <alignment horizontal="center"/>
    </xf>
    <xf numFmtId="0" fontId="3" fillId="5" borderId="2" xfId="0" applyFont="1" applyFill="1" applyBorder="1"/>
    <xf numFmtId="0" fontId="3" fillId="0" borderId="2" xfId="0" applyFont="1" applyBorder="1" applyAlignment="1">
      <alignment horizontal="left" wrapText="1"/>
    </xf>
    <xf numFmtId="2" fontId="4" fillId="0" borderId="0" xfId="0" applyNumberFormat="1" applyFont="1"/>
    <xf numFmtId="4" fontId="2" fillId="2" borderId="2" xfId="0" applyNumberFormat="1" applyFont="1" applyFill="1" applyBorder="1" applyAlignment="1">
      <alignment horizontal="center" vertical="center" wrapText="1"/>
    </xf>
    <xf numFmtId="4" fontId="2" fillId="2" borderId="2" xfId="0" applyNumberFormat="1" applyFont="1" applyFill="1" applyBorder="1" applyAlignment="1">
      <alignment horizontal="center" vertical="center" wrapText="1"/>
    </xf>
    <xf numFmtId="4" fontId="4" fillId="0" borderId="2" xfId="0" applyNumberFormat="1" applyFont="1" applyBorder="1"/>
    <xf numFmtId="4" fontId="4" fillId="0" borderId="2" xfId="0" applyNumberFormat="1" applyFont="1" applyFill="1" applyBorder="1"/>
    <xf numFmtId="4" fontId="4" fillId="5" borderId="2" xfId="0" applyNumberFormat="1" applyFont="1" applyFill="1" applyBorder="1"/>
    <xf numFmtId="4" fontId="3" fillId="0" borderId="2" xfId="0" applyNumberFormat="1" applyFont="1" applyFill="1" applyBorder="1"/>
    <xf numFmtId="4" fontId="3" fillId="0" borderId="2" xfId="0" applyNumberFormat="1" applyFont="1" applyBorder="1"/>
    <xf numFmtId="4" fontId="3" fillId="0" borderId="0" xfId="0" applyNumberFormat="1" applyFont="1"/>
    <xf numFmtId="4" fontId="2" fillId="2" borderId="2" xfId="0" applyNumberFormat="1" applyFont="1" applyFill="1" applyBorder="1" applyAlignment="1">
      <alignment horizontal="center" vertical="center" wrapText="1"/>
    </xf>
    <xf numFmtId="0" fontId="8" fillId="0" borderId="0" xfId="0" applyFont="1" applyAlignment="1">
      <alignment horizontal="centerContinuous" vertical="center" wrapText="1"/>
    </xf>
    <xf numFmtId="0" fontId="20" fillId="0" borderId="0" xfId="0" applyFont="1" applyAlignment="1">
      <alignment horizontal="centerContinuous" vertical="center" wrapText="1"/>
    </xf>
    <xf numFmtId="167" fontId="20" fillId="0" borderId="0" xfId="0" applyNumberFormat="1" applyFont="1" applyAlignment="1">
      <alignment horizontal="centerContinuous" vertical="center" wrapText="1"/>
    </xf>
    <xf numFmtId="0" fontId="21" fillId="0" borderId="0" xfId="0" applyFont="1" applyAlignment="1" applyProtection="1">
      <alignment horizontal="centerContinuous" vertical="top"/>
      <protection locked="0"/>
    </xf>
    <xf numFmtId="0" fontId="22" fillId="0" borderId="0" xfId="0" applyFont="1" applyAlignment="1">
      <alignment vertical="center" wrapText="1"/>
    </xf>
    <xf numFmtId="0" fontId="12" fillId="0" borderId="0" xfId="0" applyFont="1" applyAlignment="1">
      <alignment vertical="center" wrapText="1"/>
    </xf>
    <xf numFmtId="0" fontId="2" fillId="0" borderId="7" xfId="0" applyFont="1" applyBorder="1" applyAlignment="1">
      <alignment horizontal="left" vertical="center" wrapText="1"/>
    </xf>
    <xf numFmtId="0" fontId="2" fillId="0" borderId="7" xfId="0" applyFont="1" applyBorder="1" applyAlignment="1">
      <alignment vertical="center" wrapText="1"/>
    </xf>
    <xf numFmtId="0" fontId="2" fillId="0" borderId="7" xfId="0" applyFont="1" applyBorder="1" applyAlignment="1">
      <alignment horizontal="center" vertical="center" wrapText="1"/>
    </xf>
    <xf numFmtId="167" fontId="2" fillId="0" borderId="7" xfId="0" applyNumberFormat="1" applyFont="1" applyBorder="1" applyAlignment="1">
      <alignment horizontal="left" vertical="center" wrapText="1"/>
    </xf>
    <xf numFmtId="0" fontId="7" fillId="0" borderId="7" xfId="0" applyFont="1" applyBorder="1" applyAlignment="1" applyProtection="1">
      <alignment vertical="top"/>
      <protection locked="0"/>
    </xf>
    <xf numFmtId="0" fontId="2" fillId="6" borderId="4" xfId="7" applyFont="1" applyFill="1" applyBorder="1" applyAlignment="1">
      <alignment horizontal="center" vertical="center"/>
    </xf>
    <xf numFmtId="0" fontId="2" fillId="6" borderId="4" xfId="7" applyFont="1" applyFill="1" applyBorder="1" applyAlignment="1">
      <alignment vertical="center" wrapText="1"/>
    </xf>
    <xf numFmtId="0" fontId="2" fillId="6" borderId="4" xfId="7" applyFont="1" applyFill="1" applyBorder="1" applyAlignment="1">
      <alignment horizontal="center" vertical="center" wrapText="1"/>
    </xf>
    <xf numFmtId="0" fontId="12" fillId="3" borderId="0" xfId="7" applyFont="1" applyFill="1" applyAlignment="1">
      <alignment vertical="center"/>
    </xf>
    <xf numFmtId="0" fontId="2" fillId="4" borderId="3" xfId="0" applyFont="1" applyFill="1" applyBorder="1" applyAlignment="1" applyProtection="1">
      <alignment horizontal="center" vertical="center" wrapText="1"/>
      <protection locked="0"/>
    </xf>
    <xf numFmtId="0" fontId="2" fillId="4" borderId="3" xfId="0" applyFont="1" applyFill="1" applyBorder="1" applyAlignment="1" applyProtection="1">
      <alignment vertical="center" wrapText="1"/>
      <protection locked="0"/>
    </xf>
    <xf numFmtId="4" fontId="2" fillId="4" borderId="3" xfId="8" applyNumberFormat="1" applyFont="1" applyFill="1" applyBorder="1" applyAlignment="1">
      <alignment horizontal="right" vertical="center" wrapText="1"/>
    </xf>
    <xf numFmtId="170" fontId="2" fillId="4" borderId="3" xfId="8" quotePrefix="1" applyNumberFormat="1" applyFont="1" applyFill="1" applyBorder="1" applyAlignment="1">
      <alignment horizontal="center" vertical="center" wrapText="1"/>
    </xf>
    <xf numFmtId="0" fontId="14" fillId="0" borderId="0" xfId="4" applyFont="1" applyAlignment="1">
      <alignment vertical="center"/>
      <protection locked="0"/>
    </xf>
    <xf numFmtId="0" fontId="24" fillId="0" borderId="0" xfId="0" applyFont="1"/>
    <xf numFmtId="0" fontId="2" fillId="7" borderId="2" xfId="7" applyFont="1" applyFill="1" applyBorder="1" applyAlignment="1">
      <alignment horizontal="center" vertical="center"/>
    </xf>
    <xf numFmtId="0" fontId="2" fillId="7" borderId="2" xfId="7" applyFont="1" applyFill="1" applyBorder="1" applyAlignment="1">
      <alignment vertical="center" wrapText="1"/>
    </xf>
    <xf numFmtId="4" fontId="12" fillId="7" borderId="2" xfId="8" applyNumberFormat="1" applyFont="1" applyFill="1" applyBorder="1" applyAlignment="1">
      <alignment horizontal="right" vertical="center"/>
    </xf>
    <xf numFmtId="171" fontId="2" fillId="7" borderId="2" xfId="1" applyNumberFormat="1" applyFont="1" applyFill="1" applyBorder="1" applyAlignment="1" applyProtection="1">
      <alignment horizontal="center" vertical="center"/>
    </xf>
    <xf numFmtId="0" fontId="9" fillId="0" borderId="0" xfId="4" applyFont="1" applyAlignment="1">
      <alignment vertical="center"/>
      <protection locked="0"/>
    </xf>
    <xf numFmtId="0" fontId="2" fillId="3" borderId="2" xfId="0" applyFont="1" applyFill="1" applyBorder="1" applyAlignment="1" applyProtection="1">
      <alignment horizontal="center" vertical="center" wrapText="1"/>
      <protection locked="0"/>
    </xf>
    <xf numFmtId="0" fontId="2" fillId="0" borderId="2" xfId="5" applyFont="1" applyBorder="1" applyAlignment="1">
      <alignment vertical="center" wrapText="1"/>
    </xf>
    <xf numFmtId="167" fontId="12" fillId="0" borderId="2" xfId="4" applyNumberFormat="1" applyFont="1" applyBorder="1" applyAlignment="1" applyProtection="1">
      <alignment horizontal="center" vertical="center" wrapText="1"/>
    </xf>
    <xf numFmtId="170" fontId="2" fillId="0" borderId="2" xfId="4" applyNumberFormat="1" applyFont="1" applyBorder="1" applyAlignment="1" applyProtection="1">
      <alignment horizontal="right" vertical="center" wrapText="1"/>
    </xf>
    <xf numFmtId="3" fontId="2" fillId="0" borderId="2" xfId="4" applyNumberFormat="1" applyFont="1" applyBorder="1" applyAlignment="1" applyProtection="1">
      <alignment horizontal="center" vertical="center" wrapText="1"/>
    </xf>
    <xf numFmtId="0" fontId="12" fillId="0" borderId="2" xfId="4" applyFont="1" applyBorder="1" applyAlignment="1">
      <alignment horizontal="center" vertical="center"/>
      <protection locked="0"/>
    </xf>
    <xf numFmtId="0" fontId="12" fillId="0" borderId="2" xfId="5" applyFont="1" applyBorder="1" applyAlignment="1">
      <alignment vertical="center" wrapText="1"/>
    </xf>
    <xf numFmtId="172" fontId="12" fillId="0" borderId="2" xfId="4" applyNumberFormat="1" applyFont="1" applyBorder="1" applyAlignment="1" applyProtection="1">
      <alignment horizontal="right" vertical="center" wrapText="1"/>
    </xf>
    <xf numFmtId="3" fontId="12" fillId="0" borderId="2" xfId="4" applyNumberFormat="1" applyFont="1" applyBorder="1" applyAlignment="1" applyProtection="1">
      <alignment horizontal="left" vertical="center" wrapText="1"/>
    </xf>
    <xf numFmtId="3" fontId="12" fillId="0" borderId="2" xfId="4" applyNumberFormat="1" applyFont="1" applyBorder="1" applyAlignment="1" applyProtection="1">
      <alignment horizontal="center" vertical="center" wrapText="1"/>
    </xf>
    <xf numFmtId="172" fontId="12" fillId="4" borderId="2" xfId="4" applyNumberFormat="1" applyFont="1" applyFill="1" applyBorder="1" applyAlignment="1" applyProtection="1">
      <alignment horizontal="right" vertical="center" wrapText="1"/>
    </xf>
    <xf numFmtId="168" fontId="12" fillId="4" borderId="2" xfId="4" applyNumberFormat="1" applyFont="1" applyFill="1" applyBorder="1" applyAlignment="1" applyProtection="1">
      <alignment horizontal="center" vertical="center" wrapText="1"/>
    </xf>
    <xf numFmtId="10" fontId="12" fillId="0" borderId="2" xfId="4" applyNumberFormat="1" applyFont="1" applyBorder="1" applyAlignment="1" applyProtection="1">
      <alignment horizontal="center" vertical="center" wrapText="1"/>
    </xf>
    <xf numFmtId="0" fontId="12" fillId="0" borderId="0" xfId="0" applyFont="1" applyAlignment="1">
      <alignment horizontal="center" vertical="center" wrapText="1"/>
    </xf>
    <xf numFmtId="167" fontId="12" fillId="0" borderId="0" xfId="0" applyNumberFormat="1" applyFont="1" applyAlignment="1">
      <alignment vertical="center" wrapText="1"/>
    </xf>
    <xf numFmtId="0" fontId="26" fillId="3" borderId="0" xfId="4" applyFont="1" applyFill="1" applyAlignment="1">
      <alignment vertical="center"/>
      <protection locked="0"/>
    </xf>
    <xf numFmtId="0" fontId="27" fillId="0" borderId="0" xfId="0" applyFont="1" applyAlignment="1" applyProtection="1">
      <alignment vertical="top"/>
      <protection locked="0"/>
    </xf>
    <xf numFmtId="0" fontId="25" fillId="0" borderId="1" xfId="4" applyFont="1" applyFill="1" applyBorder="1" applyAlignment="1" applyProtection="1">
      <alignment horizontal="center" vertical="center"/>
      <protection locked="0"/>
    </xf>
    <xf numFmtId="0" fontId="25" fillId="0" borderId="1" xfId="5" applyFont="1" applyFill="1" applyBorder="1" applyAlignment="1" applyProtection="1">
      <alignment horizontal="left" vertical="center" wrapText="1"/>
    </xf>
    <xf numFmtId="0" fontId="26" fillId="3" borderId="1" xfId="4" applyFont="1" applyFill="1" applyBorder="1" applyAlignment="1">
      <alignment horizontal="center" vertical="center"/>
      <protection locked="0"/>
    </xf>
    <xf numFmtId="0" fontId="26" fillId="3" borderId="1" xfId="4" applyFont="1" applyFill="1" applyBorder="1" applyAlignment="1" applyProtection="1">
      <alignment vertical="center"/>
    </xf>
    <xf numFmtId="0" fontId="12" fillId="0" borderId="2" xfId="4" applyFont="1" applyFill="1" applyBorder="1" applyAlignment="1" applyProtection="1">
      <alignment horizontal="center" vertical="center"/>
      <protection locked="0"/>
    </xf>
    <xf numFmtId="0" fontId="12" fillId="0" borderId="2" xfId="5" applyFont="1" applyFill="1" applyBorder="1" applyAlignment="1" applyProtection="1">
      <alignment horizontal="left" vertical="center" wrapText="1"/>
    </xf>
    <xf numFmtId="0" fontId="9" fillId="3" borderId="2" xfId="4" applyFont="1" applyFill="1" applyBorder="1" applyAlignment="1">
      <alignment horizontal="center" vertical="center"/>
      <protection locked="0"/>
    </xf>
    <xf numFmtId="0" fontId="9" fillId="3" borderId="2" xfId="4" applyFont="1" applyFill="1" applyBorder="1" applyAlignment="1" applyProtection="1">
      <alignment vertical="center"/>
    </xf>
    <xf numFmtId="0" fontId="25" fillId="0" borderId="2" xfId="4" applyFont="1" applyFill="1" applyBorder="1" applyAlignment="1" applyProtection="1">
      <alignment horizontal="center" vertical="center"/>
      <protection locked="0"/>
    </xf>
    <xf numFmtId="0" fontId="25" fillId="0" borderId="2" xfId="5" applyFont="1" applyFill="1" applyBorder="1" applyAlignment="1" applyProtection="1">
      <alignment horizontal="left" vertical="center" wrapText="1"/>
    </xf>
    <xf numFmtId="0" fontId="26" fillId="3" borderId="2" xfId="4" applyFont="1" applyFill="1" applyBorder="1" applyAlignment="1">
      <alignment horizontal="center" vertical="center"/>
      <protection locked="0"/>
    </xf>
    <xf numFmtId="0" fontId="26" fillId="3" borderId="2" xfId="4" applyFont="1" applyFill="1" applyBorder="1" applyAlignment="1" applyProtection="1">
      <alignment vertical="center"/>
    </xf>
    <xf numFmtId="0" fontId="12" fillId="0" borderId="8" xfId="4" applyFont="1" applyFill="1" applyBorder="1" applyAlignment="1" applyProtection="1">
      <alignment horizontal="center" vertical="center"/>
      <protection locked="0"/>
    </xf>
    <xf numFmtId="0" fontId="12" fillId="0" borderId="8" xfId="5" applyFont="1" applyFill="1" applyBorder="1" applyAlignment="1" applyProtection="1">
      <alignment horizontal="left" vertical="center" wrapText="1"/>
    </xf>
    <xf numFmtId="0" fontId="9" fillId="3" borderId="8" xfId="4" applyFont="1" applyFill="1" applyBorder="1" applyAlignment="1">
      <alignment horizontal="center" vertical="center"/>
      <protection locked="0"/>
    </xf>
    <xf numFmtId="0" fontId="9" fillId="3" borderId="8" xfId="4" applyFont="1" applyFill="1" applyBorder="1" applyAlignment="1" applyProtection="1">
      <alignment vertical="center"/>
    </xf>
    <xf numFmtId="4" fontId="9" fillId="3" borderId="2" xfId="4" applyNumberFormat="1" applyFont="1" applyFill="1" applyBorder="1" applyAlignment="1">
      <alignment horizontal="center" vertical="center"/>
      <protection locked="0"/>
    </xf>
    <xf numFmtId="4" fontId="9" fillId="3" borderId="0" xfId="2" applyNumberFormat="1" applyFont="1" applyFill="1" applyBorder="1" applyAlignment="1">
      <alignment vertical="center" wrapText="1"/>
      <protection locked="0"/>
    </xf>
    <xf numFmtId="4" fontId="12" fillId="0" borderId="3" xfId="4" applyNumberFormat="1" applyFont="1" applyFill="1" applyBorder="1" applyAlignment="1" applyProtection="1">
      <alignment horizontal="center" vertical="center" wrapText="1"/>
    </xf>
    <xf numFmtId="4" fontId="2" fillId="0" borderId="3" xfId="4" applyNumberFormat="1" applyFont="1" applyFill="1" applyBorder="1" applyAlignment="1" applyProtection="1">
      <alignment horizontal="center" vertical="center" wrapText="1"/>
    </xf>
    <xf numFmtId="4" fontId="2" fillId="3" borderId="3" xfId="4" applyNumberFormat="1" applyFont="1" applyFill="1" applyBorder="1" applyAlignment="1" applyProtection="1">
      <alignment horizontal="center" vertical="center" wrapText="1"/>
    </xf>
    <xf numFmtId="4" fontId="26" fillId="3" borderId="1" xfId="4" applyNumberFormat="1" applyFont="1" applyFill="1" applyBorder="1" applyAlignment="1">
      <alignment horizontal="center" vertical="center"/>
      <protection locked="0"/>
    </xf>
    <xf numFmtId="4" fontId="26" fillId="3" borderId="2" xfId="4" applyNumberFormat="1" applyFont="1" applyFill="1" applyBorder="1" applyAlignment="1">
      <alignment horizontal="center" vertical="center"/>
      <protection locked="0"/>
    </xf>
    <xf numFmtId="4" fontId="9" fillId="3" borderId="8" xfId="4" applyNumberFormat="1" applyFont="1" applyFill="1" applyBorder="1" applyAlignment="1">
      <alignment horizontal="center" vertical="center"/>
      <protection locked="0"/>
    </xf>
    <xf numFmtId="4" fontId="9" fillId="3" borderId="0" xfId="4" applyNumberFormat="1" applyFont="1" applyFill="1" applyAlignment="1">
      <alignment horizontal="center" vertical="center"/>
      <protection locked="0"/>
    </xf>
    <xf numFmtId="4" fontId="3" fillId="4" borderId="2" xfId="0" applyNumberFormat="1" applyFont="1" applyFill="1" applyBorder="1"/>
    <xf numFmtId="0" fontId="4" fillId="0" borderId="2" xfId="0" applyFont="1" applyFill="1" applyBorder="1"/>
    <xf numFmtId="0" fontId="12" fillId="0" borderId="9" xfId="4" applyFont="1" applyBorder="1" applyAlignment="1">
      <alignment horizontal="center" vertical="center"/>
      <protection locked="0"/>
    </xf>
    <xf numFmtId="0" fontId="12" fillId="0" borderId="9" xfId="5" applyFont="1" applyBorder="1" applyAlignment="1">
      <alignment vertical="center" wrapText="1"/>
    </xf>
    <xf numFmtId="167" fontId="12" fillId="0" borderId="9" xfId="4" applyNumberFormat="1" applyFont="1" applyBorder="1" applyAlignment="1" applyProtection="1">
      <alignment horizontal="center" vertical="center" wrapText="1"/>
    </xf>
    <xf numFmtId="172" fontId="12" fillId="0" borderId="9" xfId="4" applyNumberFormat="1" applyFont="1" applyBorder="1" applyAlignment="1" applyProtection="1">
      <alignment horizontal="right" vertical="center" wrapText="1"/>
    </xf>
    <xf numFmtId="3" fontId="12" fillId="0" borderId="9" xfId="4" applyNumberFormat="1" applyFont="1" applyBorder="1" applyAlignment="1" applyProtection="1">
      <alignment horizontal="center" vertical="center" wrapText="1"/>
    </xf>
    <xf numFmtId="0" fontId="25" fillId="0" borderId="6" xfId="4" applyFont="1" applyFill="1" applyBorder="1" applyAlignment="1" applyProtection="1">
      <alignment horizontal="center" vertical="center"/>
      <protection locked="0"/>
    </xf>
    <xf numFmtId="0" fontId="25" fillId="0" borderId="6" xfId="5" applyFont="1" applyFill="1" applyBorder="1" applyAlignment="1" applyProtection="1">
      <alignment horizontal="left" vertical="center" wrapText="1"/>
    </xf>
    <xf numFmtId="0" fontId="26" fillId="3" borderId="6" xfId="4" applyFont="1" applyFill="1" applyBorder="1" applyAlignment="1">
      <alignment horizontal="center" vertical="center"/>
      <protection locked="0"/>
    </xf>
    <xf numFmtId="4" fontId="26" fillId="3" borderId="6" xfId="4" applyNumberFormat="1" applyFont="1" applyFill="1" applyBorder="1" applyAlignment="1">
      <alignment horizontal="center" vertical="center"/>
      <protection locked="0"/>
    </xf>
    <xf numFmtId="172" fontId="12" fillId="0" borderId="6" xfId="4" applyNumberFormat="1" applyFont="1" applyBorder="1" applyAlignment="1" applyProtection="1">
      <alignment horizontal="right" vertical="center" wrapText="1"/>
    </xf>
    <xf numFmtId="3" fontId="12" fillId="0" borderId="6" xfId="4" applyNumberFormat="1" applyFont="1" applyBorder="1" applyAlignment="1" applyProtection="1">
      <alignment horizontal="center" vertical="center" wrapText="1"/>
    </xf>
    <xf numFmtId="0" fontId="2" fillId="7" borderId="3" xfId="7" applyFont="1" applyFill="1" applyBorder="1" applyAlignment="1">
      <alignment horizontal="center" vertical="center"/>
    </xf>
    <xf numFmtId="0" fontId="2" fillId="7" borderId="3" xfId="7" applyFont="1" applyFill="1" applyBorder="1" applyAlignment="1">
      <alignment vertical="center" wrapText="1"/>
    </xf>
    <xf numFmtId="4" fontId="12" fillId="7" borderId="3" xfId="8" applyNumberFormat="1" applyFont="1" applyFill="1" applyBorder="1" applyAlignment="1">
      <alignment horizontal="right" vertical="center"/>
    </xf>
    <xf numFmtId="171" fontId="2" fillId="7" borderId="3" xfId="1" applyNumberFormat="1" applyFont="1" applyFill="1" applyBorder="1" applyAlignment="1" applyProtection="1">
      <alignment horizontal="center" vertical="center"/>
    </xf>
    <xf numFmtId="4" fontId="2" fillId="2" borderId="2" xfId="0" applyNumberFormat="1" applyFont="1" applyFill="1" applyBorder="1" applyAlignment="1">
      <alignment horizontal="center" vertical="center" wrapText="1"/>
    </xf>
    <xf numFmtId="0" fontId="2" fillId="0" borderId="2" xfId="5" applyFont="1" applyFill="1" applyBorder="1" applyAlignment="1" applyProtection="1">
      <alignment horizontal="left" vertical="center" wrapText="1"/>
    </xf>
    <xf numFmtId="0" fontId="4" fillId="0" borderId="0" xfId="0" applyFont="1" applyAlignment="1">
      <alignment horizontal="center"/>
    </xf>
    <xf numFmtId="4" fontId="2" fillId="2" borderId="2" xfId="0" applyNumberFormat="1" applyFont="1" applyFill="1" applyBorder="1" applyAlignment="1">
      <alignment horizontal="center" vertical="center" wrapText="1"/>
    </xf>
    <xf numFmtId="0" fontId="4" fillId="0" borderId="2" xfId="0" applyFont="1" applyFill="1" applyBorder="1" applyAlignment="1">
      <alignment horizontal="left" wrapText="1"/>
    </xf>
    <xf numFmtId="0" fontId="4" fillId="0" borderId="2" xfId="0" applyFont="1" applyFill="1" applyBorder="1" applyAlignment="1">
      <alignment horizontal="center"/>
    </xf>
    <xf numFmtId="0" fontId="3" fillId="0" borderId="0" xfId="0" applyFont="1" applyFill="1"/>
    <xf numFmtId="2" fontId="3" fillId="0" borderId="0" xfId="0" applyNumberFormat="1" applyFont="1" applyFill="1"/>
    <xf numFmtId="4" fontId="4" fillId="0" borderId="0" xfId="0" applyNumberFormat="1" applyFont="1"/>
    <xf numFmtId="0" fontId="8" fillId="3" borderId="0" xfId="2" applyFont="1" applyFill="1" applyAlignment="1">
      <alignment horizontal="center" vertical="center"/>
      <protection locked="0"/>
    </xf>
    <xf numFmtId="0" fontId="10" fillId="3" borderId="0" xfId="3" applyFont="1" applyFill="1" applyAlignment="1" applyProtection="1">
      <alignment horizontal="center" vertical="center" wrapText="1"/>
      <protection locked="0"/>
    </xf>
    <xf numFmtId="0" fontId="2" fillId="3" borderId="4" xfId="4" applyFont="1" applyFill="1" applyBorder="1" applyAlignment="1">
      <alignment horizontal="center" vertical="center" wrapText="1"/>
      <protection locked="0"/>
    </xf>
    <xf numFmtId="0" fontId="2" fillId="3" borderId="5" xfId="4" applyFont="1" applyFill="1" applyBorder="1" applyAlignment="1">
      <alignment horizontal="center" vertical="center" wrapText="1"/>
      <protection locked="0"/>
    </xf>
    <xf numFmtId="0" fontId="2" fillId="3" borderId="3" xfId="4" applyFont="1" applyFill="1" applyBorder="1" applyAlignment="1" applyProtection="1">
      <alignment horizontal="center" vertical="center" wrapText="1"/>
    </xf>
    <xf numFmtId="0" fontId="28" fillId="0" borderId="0" xfId="0" applyFont="1" applyAlignment="1">
      <alignment horizontal="center"/>
    </xf>
    <xf numFmtId="0" fontId="2" fillId="3" borderId="3" xfId="4" applyFont="1" applyFill="1" applyBorder="1" applyAlignment="1">
      <alignment horizontal="center" vertical="center"/>
      <protection locked="0"/>
    </xf>
    <xf numFmtId="0" fontId="2" fillId="3" borderId="3" xfId="4" applyNumberFormat="1" applyFont="1" applyFill="1" applyBorder="1" applyAlignment="1">
      <alignment horizontal="center" vertical="center" wrapText="1"/>
      <protection locked="0"/>
    </xf>
    <xf numFmtId="0" fontId="2" fillId="3" borderId="3" xfId="4" applyFont="1" applyFill="1" applyBorder="1" applyAlignment="1">
      <alignment horizontal="center" vertical="center" wrapText="1"/>
      <protection locked="0"/>
    </xf>
    <xf numFmtId="4" fontId="2" fillId="3" borderId="4" xfId="4" applyNumberFormat="1" applyFont="1" applyFill="1" applyBorder="1" applyAlignment="1">
      <alignment horizontal="center" vertical="center" wrapText="1"/>
      <protection locked="0"/>
    </xf>
    <xf numFmtId="4" fontId="2" fillId="3" borderId="5" xfId="4" applyNumberFormat="1" applyFont="1" applyFill="1" applyBorder="1" applyAlignment="1">
      <alignment horizontal="center" vertical="center" wrapText="1"/>
      <protection locked="0"/>
    </xf>
    <xf numFmtId="0" fontId="4" fillId="0" borderId="0" xfId="0" applyFont="1" applyAlignment="1">
      <alignment horizont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4" fontId="2" fillId="2" borderId="1" xfId="0" applyNumberFormat="1" applyFont="1" applyFill="1" applyBorder="1" applyAlignment="1">
      <alignment horizontal="center" vertical="center" wrapText="1"/>
    </xf>
    <xf numFmtId="4" fontId="2" fillId="2" borderId="1" xfId="1" applyNumberFormat="1" applyFont="1" applyFill="1" applyBorder="1" applyAlignment="1">
      <alignment horizontal="center" vertical="center" wrapText="1"/>
    </xf>
    <xf numFmtId="4" fontId="2" fillId="2" borderId="2" xfId="1" applyNumberFormat="1" applyFont="1" applyFill="1" applyBorder="1" applyAlignment="1">
      <alignment horizontal="center" vertical="center" wrapText="1"/>
    </xf>
    <xf numFmtId="4" fontId="2" fillId="2" borderId="2" xfId="0" applyNumberFormat="1" applyFont="1" applyFill="1" applyBorder="1" applyAlignment="1">
      <alignment horizontal="center" vertical="center" wrapText="1"/>
    </xf>
    <xf numFmtId="4" fontId="2" fillId="2" borderId="4"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wrapText="1"/>
    </xf>
    <xf numFmtId="165" fontId="2" fillId="2" borderId="1" xfId="0" applyNumberFormat="1" applyFont="1" applyFill="1" applyBorder="1" applyAlignment="1">
      <alignment horizontal="center" vertical="center" wrapText="1"/>
    </xf>
    <xf numFmtId="166" fontId="2" fillId="2" borderId="1" xfId="1" applyNumberFormat="1" applyFont="1" applyFill="1" applyBorder="1" applyAlignment="1">
      <alignment horizontal="center" vertical="center" wrapText="1"/>
    </xf>
    <xf numFmtId="166" fontId="2" fillId="2" borderId="2" xfId="1" applyNumberFormat="1" applyFont="1" applyFill="1" applyBorder="1" applyAlignment="1">
      <alignment horizontal="center" vertical="center" wrapText="1"/>
    </xf>
    <xf numFmtId="165" fontId="2" fillId="2" borderId="2" xfId="0" applyNumberFormat="1" applyFont="1" applyFill="1" applyBorder="1" applyAlignment="1">
      <alignment horizontal="center" vertical="center" wrapText="1"/>
    </xf>
    <xf numFmtId="165" fontId="2" fillId="2" borderId="4" xfId="0" applyNumberFormat="1" applyFont="1" applyFill="1" applyBorder="1" applyAlignment="1">
      <alignment horizontal="center" vertical="center" wrapText="1"/>
    </xf>
    <xf numFmtId="165" fontId="2" fillId="2" borderId="6" xfId="0" applyNumberFormat="1" applyFont="1" applyFill="1" applyBorder="1" applyAlignment="1">
      <alignment horizontal="center" vertical="center" wrapText="1"/>
    </xf>
    <xf numFmtId="0" fontId="29" fillId="0" borderId="2" xfId="0" applyFont="1" applyBorder="1"/>
    <xf numFmtId="0" fontId="30" fillId="0" borderId="2" xfId="0" applyFont="1" applyFill="1" applyBorder="1" applyAlignment="1">
      <alignment horizontal="left" wrapText="1"/>
    </xf>
    <xf numFmtId="0" fontId="30" fillId="0" borderId="2" xfId="0" applyFont="1" applyFill="1" applyBorder="1" applyAlignment="1">
      <alignment horizontal="center"/>
    </xf>
    <xf numFmtId="0" fontId="30" fillId="0" borderId="2" xfId="0" applyFont="1" applyFill="1" applyBorder="1"/>
    <xf numFmtId="4" fontId="30" fillId="0" borderId="2" xfId="0" applyNumberFormat="1" applyFont="1" applyFill="1" applyBorder="1"/>
    <xf numFmtId="0" fontId="29" fillId="0" borderId="0" xfId="0" applyFont="1"/>
    <xf numFmtId="0" fontId="29" fillId="0" borderId="2" xfId="0" applyFont="1" applyBorder="1" applyAlignment="1">
      <alignment horizontal="left" wrapText="1"/>
    </xf>
    <xf numFmtId="0" fontId="29" fillId="0" borderId="2" xfId="0" applyFont="1" applyFill="1" applyBorder="1" applyAlignment="1">
      <alignment horizontal="center"/>
    </xf>
    <xf numFmtId="4" fontId="29" fillId="0" borderId="2" xfId="0" applyNumberFormat="1" applyFont="1" applyBorder="1"/>
    <xf numFmtId="4" fontId="29" fillId="0" borderId="2" xfId="0" applyNumberFormat="1" applyFont="1" applyFill="1" applyBorder="1"/>
    <xf numFmtId="0" fontId="29" fillId="0" borderId="2" xfId="0" applyFont="1" applyFill="1" applyBorder="1" applyAlignment="1">
      <alignment horizontal="left"/>
    </xf>
    <xf numFmtId="0" fontId="29" fillId="0" borderId="2" xfId="0" applyFont="1" applyFill="1" applyBorder="1"/>
    <xf numFmtId="0" fontId="30" fillId="0" borderId="0" xfId="0" applyFont="1"/>
    <xf numFmtId="0" fontId="30" fillId="0" borderId="0" xfId="0" applyFont="1" applyAlignment="1">
      <alignment horizontal="center"/>
    </xf>
    <xf numFmtId="4" fontId="30" fillId="0" borderId="0" xfId="0" applyNumberFormat="1" applyFont="1"/>
    <xf numFmtId="0" fontId="30" fillId="0" borderId="2" xfId="0" applyFont="1" applyBorder="1" applyAlignment="1">
      <alignment horizontal="left" wrapText="1"/>
    </xf>
    <xf numFmtId="0" fontId="30" fillId="0" borderId="2" xfId="0" applyFont="1" applyBorder="1"/>
    <xf numFmtId="4" fontId="30" fillId="0" borderId="2" xfId="0" applyNumberFormat="1" applyFont="1" applyBorder="1"/>
  </cellXfs>
  <cellStyles count="9">
    <cellStyle name="Comma" xfId="1" builtinId="3"/>
    <cellStyle name="Comma_Chao gia SHI 3" xfId="8" xr:uid="{B0148B66-13ED-4C82-8472-DFF48E2423D0}"/>
    <cellStyle name="Normal" xfId="0" builtinId="0"/>
    <cellStyle name="Normal 14 2 2" xfId="3" xr:uid="{00000000-0005-0000-0000-000002000000}"/>
    <cellStyle name="Normal 2" xfId="6" xr:uid="{00000000-0005-0000-0000-000003000000}"/>
    <cellStyle name="Normal 2 3" xfId="4" xr:uid="{00000000-0005-0000-0000-000004000000}"/>
    <cellStyle name="Normal 4 2 2" xfId="2" xr:uid="{00000000-0005-0000-0000-000005000000}"/>
    <cellStyle name="Normal_Chao gia 21-12-06" xfId="7" xr:uid="{B2DA586A-2BD8-476D-BB8C-F42B694FDC74}"/>
    <cellStyle name="Normal_KL xay dien hinh- finish  ok" xfId="5" xr:uid="{00000000-0005-0000-0000-000006000000}"/>
  </cellStyles>
  <dxfs count="9">
    <dxf>
      <font>
        <color rgb="FFFF0000"/>
      </font>
    </dxf>
    <dxf>
      <font>
        <color rgb="FFFF0000"/>
      </font>
    </dxf>
    <dxf>
      <font>
        <color rgb="FFFF0000"/>
      </font>
    </dxf>
    <dxf>
      <font>
        <color rgb="FFFF0000"/>
      </font>
    </dxf>
    <dxf>
      <font>
        <color rgb="FFFF0000"/>
      </font>
    </dxf>
    <dxf>
      <font>
        <color rgb="FFFF0000"/>
      </font>
    </dxf>
    <dxf>
      <font>
        <color rgb="FFFF0000"/>
      </font>
    </dxf>
    <dxf>
      <fill>
        <patternFill patternType="solid">
          <bgColor rgb="FFFFFF00"/>
        </patternFill>
      </fill>
    </dxf>
    <dxf>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u%20an%20Yen%20Binh/9.%20Khoi%20luong/Mr%20Cuong/24.11.28-KL%20TAM%20TUONG%20-TT-01%20THAI%20NGUYE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L TONG"/>
      <sheetName val="KL Tang dien hinh 2-V1"/>
      <sheetName val="KL Tang dien hinh 3-7"/>
      <sheetName val="KL Tang dien hinh 8-15"/>
      <sheetName val="KL Tang dien hinh 16"/>
      <sheetName val="KL Tang dien hinh 17-19"/>
      <sheetName val="KL Tang dien hinh 20"/>
    </sheetNames>
    <sheetDataSet>
      <sheetData sheetId="0">
        <row r="10">
          <cell r="D10">
            <v>68441.753880000018</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0D8D6-8C21-40C2-BB9B-FF5EC01C5346}">
  <sheetPr>
    <tabColor rgb="FF00B050"/>
  </sheetPr>
  <dimension ref="A1:HR108"/>
  <sheetViews>
    <sheetView showZeros="0" tabSelected="1" workbookViewId="0">
      <selection activeCell="J87" sqref="J87"/>
    </sheetView>
  </sheetViews>
  <sheetFormatPr defaultColWidth="10.140625" defaultRowHeight="15.75"/>
  <cols>
    <col min="1" max="1" width="6.7109375" style="78" customWidth="1"/>
    <col min="2" max="2" width="48.7109375" style="78" customWidth="1"/>
    <col min="3" max="3" width="8.28515625" style="112" customWidth="1"/>
    <col min="4" max="4" width="15.140625" style="113" customWidth="1"/>
    <col min="5" max="6" width="15.85546875" style="113" hidden="1" customWidth="1"/>
    <col min="7" max="7" width="28.85546875" style="9" bestFit="1" customWidth="1"/>
    <col min="8" max="8" width="17" style="78" customWidth="1"/>
    <col min="9" max="10" width="13.7109375" style="78" bestFit="1" customWidth="1"/>
    <col min="11" max="190" width="10.140625" style="78" customWidth="1"/>
    <col min="191" max="191" width="6.42578125" style="78" customWidth="1"/>
    <col min="192" max="192" width="47.42578125" style="78" customWidth="1"/>
    <col min="193" max="193" width="9.85546875" style="78" customWidth="1"/>
    <col min="194" max="194" width="14.42578125" style="78" customWidth="1"/>
    <col min="195" max="195" width="16.7109375" style="78" customWidth="1"/>
    <col min="196" max="206" width="19.85546875" style="78" customWidth="1"/>
    <col min="207" max="207" width="6.42578125" style="78" customWidth="1"/>
    <col min="208" max="208" width="47.42578125" style="78" customWidth="1"/>
    <col min="209" max="209" width="9.85546875" style="78" customWidth="1"/>
    <col min="210" max="210" width="14.42578125" style="78" customWidth="1"/>
    <col min="211" max="211" width="15.42578125" style="78" bestFit="1" customWidth="1"/>
    <col min="212" max="212" width="19.85546875" style="78" bestFit="1" customWidth="1"/>
    <col min="213" max="213" width="19.85546875" style="78" customWidth="1"/>
    <col min="214" max="214" width="12.42578125" style="78" customWidth="1"/>
    <col min="215" max="16384" width="10.140625" style="78"/>
  </cols>
  <sheetData>
    <row r="1" spans="1:226" ht="20.25">
      <c r="A1" s="73" t="s">
        <v>207</v>
      </c>
      <c r="B1" s="74"/>
      <c r="C1" s="74"/>
      <c r="D1" s="75"/>
      <c r="E1" s="75"/>
      <c r="F1" s="75"/>
      <c r="G1" s="76"/>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7"/>
      <c r="GP1" s="77"/>
      <c r="GQ1" s="77"/>
      <c r="GR1" s="77"/>
      <c r="GS1" s="77"/>
      <c r="GT1" s="77"/>
      <c r="GU1" s="77"/>
      <c r="GV1" s="77"/>
      <c r="GW1" s="77"/>
      <c r="GX1" s="77"/>
      <c r="GY1" s="77"/>
      <c r="GZ1" s="77"/>
      <c r="HA1" s="77"/>
      <c r="HB1" s="77"/>
      <c r="HC1" s="77"/>
      <c r="HD1" s="77"/>
      <c r="HE1" s="77"/>
      <c r="HF1" s="77"/>
      <c r="HG1" s="77"/>
      <c r="HH1" s="77"/>
      <c r="HI1" s="77"/>
      <c r="HJ1" s="77"/>
      <c r="HK1" s="77"/>
      <c r="HL1" s="77"/>
      <c r="HM1" s="77"/>
      <c r="HN1" s="77"/>
      <c r="HO1" s="77"/>
      <c r="HP1" s="77"/>
      <c r="HQ1" s="77"/>
      <c r="HR1" s="77"/>
    </row>
    <row r="2" spans="1:226">
      <c r="A2" s="79"/>
      <c r="B2" s="80"/>
      <c r="C2" s="81"/>
      <c r="D2" s="82"/>
      <c r="E2" s="82"/>
      <c r="F2" s="82"/>
      <c r="G2" s="83"/>
    </row>
    <row r="3" spans="1:226" s="87" customFormat="1" ht="36" customHeight="1">
      <c r="A3" s="84" t="s">
        <v>0</v>
      </c>
      <c r="B3" s="85" t="s">
        <v>208</v>
      </c>
      <c r="C3" s="84" t="s">
        <v>209</v>
      </c>
      <c r="D3" s="86" t="s">
        <v>210</v>
      </c>
      <c r="E3" s="86" t="s">
        <v>211</v>
      </c>
      <c r="F3" s="86" t="s">
        <v>212</v>
      </c>
      <c r="G3" s="86" t="s">
        <v>213</v>
      </c>
    </row>
    <row r="4" spans="1:226" s="93" customFormat="1" ht="16.5" hidden="1">
      <c r="A4" s="88" t="s">
        <v>214</v>
      </c>
      <c r="B4" s="89" t="s">
        <v>18</v>
      </c>
      <c r="C4" s="88"/>
      <c r="D4" s="90"/>
      <c r="E4" s="90"/>
      <c r="F4" s="90"/>
      <c r="G4" s="91"/>
      <c r="H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c r="AP4" s="92"/>
      <c r="AQ4" s="92"/>
      <c r="AR4" s="92"/>
      <c r="AS4" s="92"/>
      <c r="AT4" s="92"/>
      <c r="AU4" s="92"/>
      <c r="AV4" s="92"/>
      <c r="AW4" s="92"/>
      <c r="AX4" s="92"/>
      <c r="AY4" s="92"/>
      <c r="AZ4" s="92"/>
      <c r="BA4" s="92"/>
      <c r="BB4" s="92"/>
      <c r="BC4" s="92"/>
      <c r="BD4" s="92"/>
      <c r="BE4" s="92"/>
      <c r="BF4" s="92"/>
      <c r="BG4" s="92"/>
      <c r="BH4" s="92"/>
      <c r="BI4" s="92"/>
      <c r="BJ4" s="92"/>
      <c r="BK4" s="92"/>
      <c r="BL4" s="92"/>
      <c r="BM4" s="92"/>
      <c r="BN4" s="92"/>
      <c r="BO4" s="92"/>
      <c r="BP4" s="92"/>
      <c r="BQ4" s="92"/>
      <c r="BR4" s="92"/>
      <c r="BS4" s="92"/>
      <c r="BT4" s="92"/>
      <c r="BU4" s="92"/>
      <c r="BV4" s="92"/>
      <c r="BW4" s="92"/>
      <c r="BX4" s="92"/>
      <c r="BY4" s="92"/>
      <c r="BZ4" s="92"/>
      <c r="CA4" s="92"/>
      <c r="CB4" s="92"/>
      <c r="CC4" s="92"/>
      <c r="CD4" s="92"/>
      <c r="CE4" s="92"/>
      <c r="CF4" s="92"/>
      <c r="CG4" s="92"/>
      <c r="CH4" s="92"/>
      <c r="CI4" s="92"/>
      <c r="CJ4" s="92"/>
      <c r="CK4" s="92"/>
      <c r="CL4" s="92"/>
      <c r="CM4" s="92"/>
      <c r="CN4" s="92"/>
      <c r="CO4" s="92"/>
      <c r="CP4" s="92"/>
      <c r="CQ4" s="92"/>
      <c r="CR4" s="92"/>
      <c r="CS4" s="92"/>
      <c r="CT4" s="92"/>
      <c r="CU4" s="92"/>
      <c r="CV4" s="92"/>
      <c r="CW4" s="92"/>
      <c r="CX4" s="92"/>
      <c r="CY4" s="92"/>
      <c r="CZ4" s="92"/>
      <c r="DA4" s="92"/>
      <c r="DB4" s="92"/>
      <c r="DC4" s="92"/>
      <c r="DD4" s="92"/>
      <c r="DE4" s="92"/>
      <c r="DF4" s="92"/>
      <c r="DG4" s="92"/>
      <c r="DH4" s="92"/>
      <c r="DI4" s="92"/>
      <c r="DJ4" s="92"/>
      <c r="DK4" s="92"/>
      <c r="DL4" s="92"/>
      <c r="DM4" s="92"/>
      <c r="DN4" s="92"/>
      <c r="DO4" s="92"/>
      <c r="DP4" s="92"/>
      <c r="DQ4" s="92"/>
      <c r="DR4" s="92"/>
      <c r="DS4" s="92"/>
      <c r="DT4" s="92"/>
      <c r="DU4" s="92"/>
      <c r="DV4" s="92"/>
      <c r="DW4" s="92"/>
      <c r="DX4" s="92"/>
      <c r="DY4" s="92"/>
      <c r="DZ4" s="92"/>
      <c r="EA4" s="92"/>
      <c r="EB4" s="92"/>
      <c r="EC4" s="92"/>
      <c r="ED4" s="92"/>
      <c r="EE4" s="92"/>
      <c r="EF4" s="92"/>
      <c r="EG4" s="92"/>
      <c r="EH4" s="92"/>
      <c r="EI4" s="92"/>
      <c r="EJ4" s="92"/>
      <c r="EK4" s="92"/>
      <c r="EL4" s="92"/>
      <c r="EM4" s="92"/>
      <c r="EN4" s="92"/>
      <c r="EO4" s="92"/>
      <c r="EP4" s="92"/>
      <c r="EQ4" s="92"/>
      <c r="ER4" s="92"/>
      <c r="ES4" s="92"/>
      <c r="ET4" s="92"/>
      <c r="EU4" s="92"/>
      <c r="EV4" s="92"/>
      <c r="EW4" s="92"/>
      <c r="EX4" s="92"/>
      <c r="EY4" s="92"/>
      <c r="EZ4" s="92"/>
      <c r="FA4" s="92"/>
      <c r="FB4" s="92"/>
      <c r="FC4" s="92"/>
      <c r="FD4" s="92"/>
      <c r="FE4" s="92"/>
      <c r="FF4" s="92"/>
      <c r="FG4" s="92"/>
      <c r="FH4" s="92"/>
      <c r="FI4" s="92"/>
      <c r="FJ4" s="92"/>
      <c r="FK4" s="92"/>
      <c r="FL4" s="92"/>
      <c r="FM4" s="92"/>
      <c r="FN4" s="92"/>
      <c r="FO4" s="92"/>
      <c r="FP4" s="9"/>
      <c r="FQ4" s="9"/>
      <c r="FR4" s="9"/>
      <c r="FS4" s="9"/>
      <c r="FT4" s="9"/>
      <c r="FU4" s="9"/>
      <c r="FV4" s="9"/>
      <c r="FW4" s="9"/>
      <c r="FX4" s="9"/>
      <c r="FY4" s="9"/>
      <c r="FZ4" s="9"/>
      <c r="GA4" s="9"/>
      <c r="GB4" s="9"/>
      <c r="GC4" s="9"/>
      <c r="GD4" s="9"/>
      <c r="GE4" s="9"/>
      <c r="GF4" s="9"/>
      <c r="GG4" s="9"/>
      <c r="GH4" s="9"/>
      <c r="GI4" s="9"/>
      <c r="GJ4" s="9"/>
    </row>
    <row r="5" spans="1:226" s="93" customFormat="1" ht="16.5" hidden="1">
      <c r="A5" s="94" t="s">
        <v>215</v>
      </c>
      <c r="B5" s="95" t="s">
        <v>20</v>
      </c>
      <c r="C5" s="94"/>
      <c r="D5" s="96"/>
      <c r="E5" s="96"/>
      <c r="F5" s="96"/>
      <c r="G5" s="97"/>
      <c r="H5" s="98"/>
      <c r="I5" s="98"/>
      <c r="J5" s="98"/>
      <c r="K5" s="98"/>
      <c r="L5" s="98"/>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c r="DT5" s="98"/>
      <c r="DU5" s="98"/>
      <c r="DV5" s="98"/>
      <c r="DW5" s="98"/>
      <c r="DX5" s="98"/>
      <c r="DY5" s="98"/>
      <c r="DZ5" s="98"/>
      <c r="EA5" s="98"/>
      <c r="EB5" s="98"/>
      <c r="EC5" s="98"/>
      <c r="ED5" s="98"/>
      <c r="EE5" s="98"/>
      <c r="EF5" s="98"/>
      <c r="EG5" s="98"/>
      <c r="EH5" s="98"/>
      <c r="EI5" s="98"/>
      <c r="EJ5" s="98"/>
      <c r="EK5" s="98"/>
      <c r="EL5" s="98"/>
      <c r="EM5" s="98"/>
      <c r="EN5" s="98"/>
      <c r="EO5" s="98"/>
      <c r="EP5" s="98"/>
      <c r="EQ5" s="98"/>
      <c r="ER5" s="98"/>
      <c r="ES5" s="98"/>
      <c r="ET5" s="98"/>
      <c r="EU5" s="98"/>
      <c r="EV5" s="98"/>
      <c r="EW5" s="98"/>
      <c r="EX5" s="98"/>
      <c r="EY5" s="98"/>
      <c r="EZ5" s="98"/>
      <c r="FA5" s="98"/>
      <c r="FB5" s="98"/>
      <c r="FC5" s="98"/>
      <c r="FD5" s="98"/>
      <c r="FE5" s="98"/>
      <c r="FF5" s="98"/>
      <c r="FG5" s="98"/>
      <c r="FH5" s="98"/>
      <c r="FI5" s="98"/>
      <c r="FJ5" s="98"/>
      <c r="FK5" s="98"/>
      <c r="FL5" s="98"/>
      <c r="FM5" s="98"/>
      <c r="FN5" s="98"/>
      <c r="FO5" s="98"/>
      <c r="FP5" s="9"/>
      <c r="FQ5" s="9"/>
      <c r="FR5" s="9"/>
      <c r="FS5" s="9"/>
      <c r="FT5" s="9"/>
      <c r="FU5" s="9"/>
      <c r="FV5" s="9"/>
      <c r="FW5" s="9"/>
      <c r="FX5" s="9"/>
      <c r="FY5" s="9"/>
      <c r="FZ5" s="9"/>
      <c r="GA5" s="9"/>
      <c r="GB5" s="9"/>
      <c r="GC5" s="9"/>
      <c r="GD5" s="9"/>
      <c r="GE5" s="9"/>
      <c r="GF5" s="9"/>
      <c r="GG5" s="9"/>
      <c r="GH5" s="9"/>
      <c r="GI5" s="9"/>
      <c r="GJ5" s="9"/>
    </row>
    <row r="6" spans="1:226" s="93" customFormat="1" ht="16.5" hidden="1">
      <c r="A6" s="99" t="s">
        <v>148</v>
      </c>
      <c r="B6" s="100" t="s">
        <v>21</v>
      </c>
      <c r="C6" s="101"/>
      <c r="D6" s="102"/>
      <c r="E6" s="102"/>
      <c r="F6" s="102"/>
      <c r="G6" s="103"/>
      <c r="H6" s="98"/>
      <c r="I6" s="98"/>
      <c r="J6" s="98"/>
      <c r="K6" s="98"/>
      <c r="L6" s="98"/>
      <c r="M6" s="98"/>
      <c r="N6" s="98"/>
      <c r="O6" s="98"/>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c r="EA6" s="98"/>
      <c r="EB6" s="98"/>
      <c r="EC6" s="98"/>
      <c r="ED6" s="98"/>
      <c r="EE6" s="98"/>
      <c r="EF6" s="98"/>
      <c r="EG6" s="98"/>
      <c r="EH6" s="98"/>
      <c r="EI6" s="98"/>
      <c r="EJ6" s="98"/>
      <c r="EK6" s="98"/>
      <c r="EL6" s="98"/>
      <c r="EM6" s="98"/>
      <c r="EN6" s="98"/>
      <c r="EO6" s="98"/>
      <c r="EP6" s="98"/>
      <c r="EQ6" s="98"/>
      <c r="ER6" s="98"/>
      <c r="ES6" s="98"/>
      <c r="ET6" s="98"/>
      <c r="EU6" s="98"/>
      <c r="EV6" s="98"/>
      <c r="EW6" s="98"/>
      <c r="EX6" s="98"/>
      <c r="EY6" s="98"/>
      <c r="EZ6" s="98"/>
      <c r="FA6" s="98"/>
      <c r="FB6" s="98"/>
      <c r="FC6" s="98"/>
      <c r="FD6" s="98"/>
      <c r="FE6" s="98"/>
      <c r="FF6" s="98"/>
      <c r="FG6" s="98"/>
      <c r="FH6" s="98"/>
      <c r="FI6" s="98"/>
      <c r="FJ6" s="98"/>
      <c r="FK6" s="98"/>
      <c r="FL6" s="98"/>
      <c r="FM6" s="98"/>
      <c r="FN6" s="98"/>
      <c r="FO6" s="98"/>
      <c r="FP6" s="9"/>
      <c r="FQ6" s="9"/>
      <c r="FR6" s="9"/>
      <c r="FS6" s="9"/>
      <c r="FT6" s="9"/>
      <c r="FU6" s="9"/>
      <c r="FV6" s="9"/>
      <c r="FW6" s="9"/>
      <c r="FX6" s="9"/>
      <c r="FY6" s="9"/>
      <c r="FZ6" s="9"/>
      <c r="GA6" s="9"/>
      <c r="GB6" s="9"/>
      <c r="GC6" s="9"/>
      <c r="GD6" s="9"/>
      <c r="GE6" s="9"/>
      <c r="GF6" s="9"/>
      <c r="GG6" s="9"/>
      <c r="GH6" s="9"/>
      <c r="GI6" s="9"/>
      <c r="GJ6" s="9"/>
    </row>
    <row r="7" spans="1:226" s="93" customFormat="1" ht="31.5" hidden="1">
      <c r="A7" s="104">
        <f>COUNTA($D$4:D7)</f>
        <v>1</v>
      </c>
      <c r="B7" s="105" t="s">
        <v>216</v>
      </c>
      <c r="C7" s="101" t="s">
        <v>14</v>
      </c>
      <c r="D7" s="106">
        <v>1364.2923149999997</v>
      </c>
      <c r="E7" s="106">
        <f>+D7*53.3%</f>
        <v>727.16780389499968</v>
      </c>
      <c r="F7" s="106">
        <f>+D7*46.7%</f>
        <v>637.1245111049999</v>
      </c>
      <c r="G7" s="107"/>
      <c r="H7" s="98"/>
      <c r="I7"/>
      <c r="J7" s="98"/>
      <c r="K7" s="98"/>
      <c r="L7" s="98"/>
      <c r="M7" s="98"/>
      <c r="N7" s="98"/>
      <c r="O7" s="98"/>
      <c r="P7" s="98"/>
      <c r="Q7" s="98"/>
      <c r="R7" s="98"/>
      <c r="S7" s="98"/>
      <c r="T7" s="98"/>
      <c r="U7" s="98"/>
      <c r="V7" s="98"/>
      <c r="W7" s="98"/>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c r="EA7" s="98"/>
      <c r="EB7" s="98"/>
      <c r="EC7" s="98"/>
      <c r="ED7" s="98"/>
      <c r="EE7" s="98"/>
      <c r="EF7" s="98"/>
      <c r="EG7" s="98"/>
      <c r="EH7" s="98"/>
      <c r="EI7" s="98"/>
      <c r="EJ7" s="98"/>
      <c r="EK7" s="98"/>
      <c r="EL7" s="98"/>
      <c r="EM7" s="98"/>
      <c r="EN7" s="98"/>
      <c r="EO7" s="98"/>
      <c r="EP7" s="98"/>
      <c r="EQ7" s="98"/>
      <c r="ER7" s="98"/>
      <c r="ES7" s="98"/>
      <c r="ET7" s="98"/>
      <c r="EU7" s="98"/>
      <c r="EV7" s="98"/>
      <c r="EW7" s="98"/>
      <c r="EX7" s="98"/>
      <c r="EY7" s="98"/>
      <c r="EZ7" s="98"/>
      <c r="FA7" s="98"/>
      <c r="FB7" s="98"/>
      <c r="FC7" s="98"/>
      <c r="FD7" s="98"/>
      <c r="FE7" s="98"/>
      <c r="FF7" s="98"/>
      <c r="FG7" s="98"/>
      <c r="FH7" s="98"/>
      <c r="FI7" s="98"/>
      <c r="FJ7" s="98"/>
      <c r="FK7" s="98"/>
      <c r="FL7" s="98"/>
      <c r="FM7" s="98"/>
      <c r="FN7" s="98"/>
      <c r="FO7" s="98"/>
      <c r="FP7" s="9"/>
      <c r="FQ7" s="9"/>
      <c r="FR7" s="9"/>
      <c r="FS7" s="9"/>
      <c r="FT7" s="9"/>
      <c r="FU7" s="9"/>
      <c r="FV7" s="9"/>
      <c r="FW7" s="9"/>
      <c r="FX7" s="9"/>
      <c r="FY7" s="9"/>
      <c r="FZ7" s="9"/>
      <c r="GA7" s="9"/>
      <c r="GB7" s="9"/>
      <c r="GC7" s="9"/>
      <c r="GD7" s="9"/>
      <c r="GE7" s="9"/>
      <c r="GF7" s="9"/>
      <c r="GG7" s="9"/>
      <c r="GH7" s="9"/>
      <c r="GI7" s="9"/>
      <c r="GJ7" s="9"/>
    </row>
    <row r="8" spans="1:226" s="93" customFormat="1" ht="31.5" hidden="1">
      <c r="A8" s="104">
        <f>COUNTA($D$4:D8)</f>
        <v>2</v>
      </c>
      <c r="B8" s="105" t="s">
        <v>217</v>
      </c>
      <c r="C8" s="101" t="s">
        <v>14</v>
      </c>
      <c r="D8" s="106">
        <v>133.9</v>
      </c>
      <c r="E8" s="106">
        <f t="shared" ref="E8:E20" si="0">+D8*53.3%</f>
        <v>71.36869999999999</v>
      </c>
      <c r="F8" s="106">
        <f t="shared" ref="F8:F12" si="1">+D8*46.7%</f>
        <v>62.531300000000009</v>
      </c>
      <c r="G8" s="10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c r="EA8" s="98"/>
      <c r="EB8" s="98"/>
      <c r="EC8" s="98"/>
      <c r="ED8" s="98"/>
      <c r="EE8" s="98"/>
      <c r="EF8" s="98"/>
      <c r="EG8" s="98"/>
      <c r="EH8" s="98"/>
      <c r="EI8" s="98"/>
      <c r="EJ8" s="98"/>
      <c r="EK8" s="98"/>
      <c r="EL8" s="98"/>
      <c r="EM8" s="98"/>
      <c r="EN8" s="98"/>
      <c r="EO8" s="98"/>
      <c r="EP8" s="98"/>
      <c r="EQ8" s="98"/>
      <c r="ER8" s="98"/>
      <c r="ES8" s="98"/>
      <c r="ET8" s="98"/>
      <c r="EU8" s="98"/>
      <c r="EV8" s="98"/>
      <c r="EW8" s="98"/>
      <c r="EX8" s="98"/>
      <c r="EY8" s="98"/>
      <c r="EZ8" s="98"/>
      <c r="FA8" s="98"/>
      <c r="FB8" s="98"/>
      <c r="FC8" s="98"/>
      <c r="FD8" s="98"/>
      <c r="FE8" s="98"/>
      <c r="FF8" s="98"/>
      <c r="FG8" s="98"/>
      <c r="FH8" s="98"/>
      <c r="FI8" s="98"/>
      <c r="FJ8" s="98"/>
      <c r="FK8" s="98"/>
      <c r="FL8" s="98"/>
      <c r="FM8" s="98"/>
      <c r="FN8" s="98"/>
      <c r="FO8" s="98"/>
      <c r="FP8" s="9"/>
      <c r="FQ8" s="9"/>
      <c r="FR8" s="9"/>
      <c r="FS8" s="9"/>
      <c r="FT8" s="9"/>
      <c r="FU8" s="9"/>
      <c r="FV8" s="9"/>
      <c r="FW8" s="9"/>
      <c r="FX8" s="9"/>
      <c r="FY8" s="9"/>
      <c r="FZ8" s="9"/>
      <c r="GA8" s="9"/>
      <c r="GB8" s="9"/>
      <c r="GC8" s="9"/>
      <c r="GD8" s="9"/>
      <c r="GE8" s="9"/>
      <c r="GF8" s="9"/>
      <c r="GG8" s="9"/>
      <c r="GH8" s="9"/>
      <c r="GI8" s="9"/>
      <c r="GJ8" s="9"/>
    </row>
    <row r="9" spans="1:226" s="93" customFormat="1" ht="16.5" hidden="1">
      <c r="A9" s="104">
        <f>COUNTA($D$4:D9)</f>
        <v>3</v>
      </c>
      <c r="B9" s="105" t="s">
        <v>218</v>
      </c>
      <c r="C9" s="101" t="s">
        <v>14</v>
      </c>
      <c r="D9" s="106">
        <v>117.17999999999998</v>
      </c>
      <c r="E9" s="106">
        <f t="shared" si="0"/>
        <v>62.456939999999982</v>
      </c>
      <c r="F9" s="106">
        <f t="shared" si="1"/>
        <v>54.72305999999999</v>
      </c>
      <c r="G9" s="10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c r="DT9" s="98"/>
      <c r="DU9" s="98"/>
      <c r="DV9" s="98"/>
      <c r="DW9" s="98"/>
      <c r="DX9" s="98"/>
      <c r="DY9" s="98"/>
      <c r="DZ9" s="98"/>
      <c r="EA9" s="98"/>
      <c r="EB9" s="98"/>
      <c r="EC9" s="98"/>
      <c r="ED9" s="98"/>
      <c r="EE9" s="98"/>
      <c r="EF9" s="98"/>
      <c r="EG9" s="98"/>
      <c r="EH9" s="98"/>
      <c r="EI9" s="98"/>
      <c r="EJ9" s="98"/>
      <c r="EK9" s="98"/>
      <c r="EL9" s="98"/>
      <c r="EM9" s="98"/>
      <c r="EN9" s="98"/>
      <c r="EO9" s="98"/>
      <c r="EP9" s="98"/>
      <c r="EQ9" s="98"/>
      <c r="ER9" s="98"/>
      <c r="ES9" s="98"/>
      <c r="ET9" s="98"/>
      <c r="EU9" s="98"/>
      <c r="EV9" s="98"/>
      <c r="EW9" s="98"/>
      <c r="EX9" s="98"/>
      <c r="EY9" s="98"/>
      <c r="EZ9" s="98"/>
      <c r="FA9" s="98"/>
      <c r="FB9" s="98"/>
      <c r="FC9" s="98"/>
      <c r="FD9" s="98"/>
      <c r="FE9" s="98"/>
      <c r="FF9" s="98"/>
      <c r="FG9" s="98"/>
      <c r="FH9" s="98"/>
      <c r="FI9" s="98"/>
      <c r="FJ9" s="98"/>
      <c r="FK9" s="98"/>
      <c r="FL9" s="98"/>
      <c r="FM9" s="98"/>
      <c r="FN9" s="98"/>
      <c r="FO9" s="98"/>
      <c r="FP9" s="9"/>
      <c r="FQ9" s="9"/>
      <c r="FR9" s="9"/>
      <c r="FS9" s="9"/>
      <c r="FT9" s="9"/>
      <c r="FU9" s="9"/>
      <c r="FV9" s="9"/>
      <c r="FW9" s="9"/>
      <c r="FX9" s="9"/>
      <c r="FY9" s="9"/>
      <c r="FZ9" s="9"/>
      <c r="GA9" s="9"/>
      <c r="GB9" s="9"/>
      <c r="GC9" s="9"/>
      <c r="GD9" s="9"/>
      <c r="GE9" s="9"/>
      <c r="GF9" s="9"/>
      <c r="GG9" s="9"/>
      <c r="GH9" s="9"/>
      <c r="GI9" s="9"/>
      <c r="GJ9" s="9"/>
    </row>
    <row r="10" spans="1:226" s="93" customFormat="1" ht="31.5" hidden="1">
      <c r="A10" s="104">
        <f>COUNTA($D$4:D10)</f>
        <v>4</v>
      </c>
      <c r="B10" s="105" t="s">
        <v>219</v>
      </c>
      <c r="C10" s="101" t="s">
        <v>14</v>
      </c>
      <c r="D10" s="106">
        <v>43.956000000000003</v>
      </c>
      <c r="E10" s="106">
        <f t="shared" si="0"/>
        <v>23.428547999999999</v>
      </c>
      <c r="F10" s="106">
        <f t="shared" si="1"/>
        <v>20.527452000000004</v>
      </c>
      <c r="G10" s="108"/>
      <c r="H10" s="98"/>
      <c r="I10" s="98"/>
      <c r="J10" s="98"/>
      <c r="K10" s="98"/>
      <c r="L10" s="98"/>
      <c r="M10" s="98"/>
      <c r="N10" s="98"/>
      <c r="O10" s="98"/>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98"/>
      <c r="CK10" s="98"/>
      <c r="CL10" s="98"/>
      <c r="CM10" s="98"/>
      <c r="CN10" s="98"/>
      <c r="CO10" s="98"/>
      <c r="CP10" s="98"/>
      <c r="CQ10" s="98"/>
      <c r="CR10" s="98"/>
      <c r="CS10" s="98"/>
      <c r="CT10" s="98"/>
      <c r="CU10" s="98"/>
      <c r="CV10" s="98"/>
      <c r="CW10" s="98"/>
      <c r="CX10" s="98"/>
      <c r="CY10" s="98"/>
      <c r="CZ10" s="98"/>
      <c r="DA10" s="98"/>
      <c r="DB10" s="98"/>
      <c r="DC10" s="98"/>
      <c r="DD10" s="98"/>
      <c r="DE10" s="98"/>
      <c r="DF10" s="98"/>
      <c r="DG10" s="98"/>
      <c r="DH10" s="98"/>
      <c r="DI10" s="98"/>
      <c r="DJ10" s="98"/>
      <c r="DK10" s="98"/>
      <c r="DL10" s="98"/>
      <c r="DM10" s="98"/>
      <c r="DN10" s="98"/>
      <c r="DO10" s="98"/>
      <c r="DP10" s="98"/>
      <c r="DQ10" s="98"/>
      <c r="DR10" s="98"/>
      <c r="DS10" s="98"/>
      <c r="DT10" s="98"/>
      <c r="DU10" s="98"/>
      <c r="DV10" s="98"/>
      <c r="DW10" s="98"/>
      <c r="DX10" s="98"/>
      <c r="DY10" s="98"/>
      <c r="DZ10" s="98"/>
      <c r="EA10" s="98"/>
      <c r="EB10" s="98"/>
      <c r="EC10" s="98"/>
      <c r="ED10" s="98"/>
      <c r="EE10" s="98"/>
      <c r="EF10" s="98"/>
      <c r="EG10" s="98"/>
      <c r="EH10" s="98"/>
      <c r="EI10" s="98"/>
      <c r="EJ10" s="98"/>
      <c r="EK10" s="98"/>
      <c r="EL10" s="98"/>
      <c r="EM10" s="98"/>
      <c r="EN10" s="98"/>
      <c r="EO10" s="98"/>
      <c r="EP10" s="98"/>
      <c r="EQ10" s="98"/>
      <c r="ER10" s="98"/>
      <c r="ES10" s="98"/>
      <c r="ET10" s="98"/>
      <c r="EU10" s="98"/>
      <c r="EV10" s="98"/>
      <c r="EW10" s="98"/>
      <c r="EX10" s="98"/>
      <c r="EY10" s="98"/>
      <c r="EZ10" s="98"/>
      <c r="FA10" s="98"/>
      <c r="FB10" s="98"/>
      <c r="FC10" s="98"/>
      <c r="FD10" s="98"/>
      <c r="FE10" s="98"/>
      <c r="FF10" s="98"/>
      <c r="FG10" s="98"/>
      <c r="FH10" s="98"/>
      <c r="FI10" s="98"/>
      <c r="FJ10" s="98"/>
      <c r="FK10" s="98"/>
      <c r="FL10" s="98"/>
      <c r="FM10" s="98"/>
      <c r="FN10" s="98"/>
      <c r="FO10" s="98"/>
      <c r="FP10" s="9"/>
      <c r="FQ10" s="9"/>
      <c r="FR10" s="9"/>
      <c r="FS10" s="9"/>
      <c r="FT10" s="9"/>
      <c r="FU10" s="9"/>
      <c r="FV10" s="9"/>
      <c r="FW10" s="9"/>
      <c r="FX10" s="9"/>
      <c r="FY10" s="9"/>
      <c r="FZ10" s="9"/>
      <c r="GA10" s="9"/>
      <c r="GB10" s="9"/>
      <c r="GC10" s="9"/>
      <c r="GD10" s="9"/>
      <c r="GE10" s="9"/>
      <c r="GF10" s="9"/>
      <c r="GG10" s="9"/>
      <c r="GH10" s="9"/>
      <c r="GI10" s="9"/>
      <c r="GJ10" s="9"/>
    </row>
    <row r="11" spans="1:226" s="93" customFormat="1" ht="31.5" hidden="1">
      <c r="A11" s="104">
        <f>COUNTA($D$4:D11)</f>
        <v>5</v>
      </c>
      <c r="B11" s="105" t="s">
        <v>220</v>
      </c>
      <c r="C11" s="101" t="s">
        <v>14</v>
      </c>
      <c r="D11" s="106">
        <v>37.8245</v>
      </c>
      <c r="E11" s="106">
        <f t="shared" si="0"/>
        <v>20.160458499999997</v>
      </c>
      <c r="F11" s="106">
        <f t="shared" si="1"/>
        <v>17.6640415</v>
      </c>
      <c r="G11" s="108"/>
      <c r="H11" s="98"/>
      <c r="I11" s="98"/>
      <c r="J11" s="98"/>
      <c r="K11" s="98"/>
      <c r="L11" s="98"/>
      <c r="M11" s="98"/>
      <c r="N11" s="98"/>
      <c r="O11" s="98"/>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98"/>
      <c r="DO11" s="98"/>
      <c r="DP11" s="98"/>
      <c r="DQ11" s="98"/>
      <c r="DR11" s="98"/>
      <c r="DS11" s="98"/>
      <c r="DT11" s="98"/>
      <c r="DU11" s="98"/>
      <c r="DV11" s="98"/>
      <c r="DW11" s="98"/>
      <c r="DX11" s="98"/>
      <c r="DY11" s="98"/>
      <c r="DZ11" s="98"/>
      <c r="EA11" s="98"/>
      <c r="EB11" s="98"/>
      <c r="EC11" s="98"/>
      <c r="ED11" s="98"/>
      <c r="EE11" s="98"/>
      <c r="EF11" s="98"/>
      <c r="EG11" s="98"/>
      <c r="EH11" s="98"/>
      <c r="EI11" s="98"/>
      <c r="EJ11" s="98"/>
      <c r="EK11" s="98"/>
      <c r="EL11" s="98"/>
      <c r="EM11" s="98"/>
      <c r="EN11" s="98"/>
      <c r="EO11" s="98"/>
      <c r="EP11" s="98"/>
      <c r="EQ11" s="98"/>
      <c r="ER11" s="98"/>
      <c r="ES11" s="98"/>
      <c r="ET11" s="98"/>
      <c r="EU11" s="98"/>
      <c r="EV11" s="98"/>
      <c r="EW11" s="98"/>
      <c r="EX11" s="98"/>
      <c r="EY11" s="98"/>
      <c r="EZ11" s="98"/>
      <c r="FA11" s="98"/>
      <c r="FB11" s="98"/>
      <c r="FC11" s="98"/>
      <c r="FD11" s="98"/>
      <c r="FE11" s="98"/>
      <c r="FF11" s="98"/>
      <c r="FG11" s="98"/>
      <c r="FH11" s="98"/>
      <c r="FI11" s="98"/>
      <c r="FJ11" s="98"/>
      <c r="FK11" s="98"/>
      <c r="FL11" s="98"/>
      <c r="FM11" s="98"/>
      <c r="FN11" s="98"/>
      <c r="FO11" s="98"/>
      <c r="FP11" s="9"/>
      <c r="FQ11" s="9"/>
      <c r="FR11" s="9"/>
      <c r="FS11" s="9"/>
      <c r="FT11" s="9"/>
      <c r="FU11" s="9"/>
      <c r="FV11" s="9"/>
      <c r="FW11" s="9"/>
      <c r="FX11" s="9"/>
      <c r="FY11" s="9"/>
      <c r="FZ11" s="9"/>
      <c r="GA11" s="9"/>
      <c r="GB11" s="9"/>
      <c r="GC11" s="9"/>
      <c r="GD11" s="9"/>
      <c r="GE11" s="9"/>
      <c r="GF11" s="9"/>
      <c r="GG11" s="9"/>
      <c r="GH11" s="9"/>
      <c r="GI11" s="9"/>
      <c r="GJ11" s="9"/>
    </row>
    <row r="12" spans="1:226" s="93" customFormat="1" ht="31.5" hidden="1">
      <c r="A12" s="104">
        <f>COUNTA($D$4:D12)</f>
        <v>6</v>
      </c>
      <c r="B12" s="105" t="s">
        <v>221</v>
      </c>
      <c r="C12" s="101" t="s">
        <v>22</v>
      </c>
      <c r="D12" s="106">
        <v>20504</v>
      </c>
      <c r="E12" s="106">
        <f t="shared" si="0"/>
        <v>10928.631999999998</v>
      </c>
      <c r="F12" s="106">
        <f t="shared" si="1"/>
        <v>9575.3680000000004</v>
      </c>
      <c r="G12" s="108"/>
      <c r="H12" s="98"/>
      <c r="I12" s="98"/>
      <c r="J12" s="98"/>
      <c r="K12" s="98"/>
      <c r="L12" s="98"/>
      <c r="M12" s="98"/>
      <c r="N12" s="98"/>
      <c r="O12" s="98"/>
      <c r="P12" s="98"/>
      <c r="Q12" s="98"/>
      <c r="R12" s="98"/>
      <c r="S12" s="98"/>
      <c r="T12" s="98"/>
      <c r="U12" s="98"/>
      <c r="V12" s="98"/>
      <c r="W12" s="98"/>
      <c r="X12" s="98"/>
      <c r="Y12" s="98"/>
      <c r="Z12" s="98"/>
      <c r="AA12" s="98"/>
      <c r="AB12" s="98"/>
      <c r="AC12" s="98"/>
      <c r="AD12" s="98"/>
      <c r="AE12" s="98"/>
      <c r="AF12" s="98"/>
      <c r="AG12" s="98"/>
      <c r="AH12" s="98"/>
      <c r="AI12" s="98"/>
      <c r="AJ12" s="98"/>
      <c r="AK12" s="98"/>
      <c r="AL12" s="98"/>
      <c r="AM12" s="98"/>
      <c r="AN12" s="98"/>
      <c r="AO12" s="98"/>
      <c r="AP12" s="98"/>
      <c r="AQ12" s="98"/>
      <c r="AR12" s="98"/>
      <c r="AS12" s="98"/>
      <c r="AT12" s="98"/>
      <c r="AU12" s="98"/>
      <c r="AV12" s="98"/>
      <c r="AW12" s="98"/>
      <c r="AX12" s="98"/>
      <c r="AY12" s="98"/>
      <c r="AZ12" s="98"/>
      <c r="BA12" s="98"/>
      <c r="BB12" s="98"/>
      <c r="BC12" s="98"/>
      <c r="BD12" s="98"/>
      <c r="BE12" s="98"/>
      <c r="BF12" s="98"/>
      <c r="BG12" s="98"/>
      <c r="BH12" s="98"/>
      <c r="BI12" s="98"/>
      <c r="BJ12" s="98"/>
      <c r="BK12" s="98"/>
      <c r="BL12" s="98"/>
      <c r="BM12" s="98"/>
      <c r="BN12" s="98"/>
      <c r="BO12" s="98"/>
      <c r="BP12" s="98"/>
      <c r="BQ12" s="98"/>
      <c r="BR12" s="98"/>
      <c r="BS12" s="98"/>
      <c r="BT12" s="98"/>
      <c r="BU12" s="98"/>
      <c r="BV12" s="98"/>
      <c r="BW12" s="98"/>
      <c r="BX12" s="98"/>
      <c r="BY12" s="98"/>
      <c r="BZ12" s="98"/>
      <c r="CA12" s="98"/>
      <c r="CB12" s="98"/>
      <c r="CC12" s="98"/>
      <c r="CD12" s="98"/>
      <c r="CE12" s="98"/>
      <c r="CF12" s="98"/>
      <c r="CG12" s="98"/>
      <c r="CH12" s="98"/>
      <c r="CI12" s="98"/>
      <c r="CJ12" s="98"/>
      <c r="CK12" s="98"/>
      <c r="CL12" s="98"/>
      <c r="CM12" s="98"/>
      <c r="CN12" s="98"/>
      <c r="CO12" s="98"/>
      <c r="CP12" s="98"/>
      <c r="CQ12" s="98"/>
      <c r="CR12" s="98"/>
      <c r="CS12" s="98"/>
      <c r="CT12" s="98"/>
      <c r="CU12" s="98"/>
      <c r="CV12" s="98"/>
      <c r="CW12" s="98"/>
      <c r="CX12" s="98"/>
      <c r="CY12" s="98"/>
      <c r="CZ12" s="98"/>
      <c r="DA12" s="98"/>
      <c r="DB12" s="98"/>
      <c r="DC12" s="98"/>
      <c r="DD12" s="98"/>
      <c r="DE12" s="98"/>
      <c r="DF12" s="98"/>
      <c r="DG12" s="98"/>
      <c r="DH12" s="98"/>
      <c r="DI12" s="98"/>
      <c r="DJ12" s="98"/>
      <c r="DK12" s="98"/>
      <c r="DL12" s="98"/>
      <c r="DM12" s="98"/>
      <c r="DN12" s="98"/>
      <c r="DO12" s="98"/>
      <c r="DP12" s="98"/>
      <c r="DQ12" s="98"/>
      <c r="DR12" s="98"/>
      <c r="DS12" s="98"/>
      <c r="DT12" s="98"/>
      <c r="DU12" s="98"/>
      <c r="DV12" s="98"/>
      <c r="DW12" s="98"/>
      <c r="DX12" s="98"/>
      <c r="DY12" s="98"/>
      <c r="DZ12" s="98"/>
      <c r="EA12" s="98"/>
      <c r="EB12" s="98"/>
      <c r="EC12" s="98"/>
      <c r="ED12" s="98"/>
      <c r="EE12" s="98"/>
      <c r="EF12" s="98"/>
      <c r="EG12" s="98"/>
      <c r="EH12" s="98"/>
      <c r="EI12" s="98"/>
      <c r="EJ12" s="98"/>
      <c r="EK12" s="98"/>
      <c r="EL12" s="98"/>
      <c r="EM12" s="98"/>
      <c r="EN12" s="98"/>
      <c r="EO12" s="98"/>
      <c r="EP12" s="98"/>
      <c r="EQ12" s="98"/>
      <c r="ER12" s="98"/>
      <c r="ES12" s="98"/>
      <c r="ET12" s="98"/>
      <c r="EU12" s="98"/>
      <c r="EV12" s="98"/>
      <c r="EW12" s="98"/>
      <c r="EX12" s="98"/>
      <c r="EY12" s="98"/>
      <c r="EZ12" s="98"/>
      <c r="FA12" s="98"/>
      <c r="FB12" s="98"/>
      <c r="FC12" s="98"/>
      <c r="FD12" s="98"/>
      <c r="FE12" s="98"/>
      <c r="FF12" s="98"/>
      <c r="FG12" s="98"/>
      <c r="FH12" s="98"/>
      <c r="FI12" s="98"/>
      <c r="FJ12" s="98"/>
      <c r="FK12" s="98"/>
      <c r="FL12" s="98"/>
      <c r="FM12" s="98"/>
      <c r="FN12" s="98"/>
      <c r="FO12" s="98"/>
      <c r="FP12" s="9"/>
      <c r="FQ12" s="9"/>
      <c r="FR12" s="9"/>
      <c r="FS12" s="9"/>
      <c r="FT12" s="9"/>
      <c r="FU12" s="9"/>
      <c r="FV12" s="9"/>
      <c r="FW12" s="9"/>
      <c r="FX12" s="9"/>
      <c r="FY12" s="9"/>
      <c r="FZ12" s="9"/>
      <c r="GA12" s="9"/>
      <c r="GB12" s="9"/>
      <c r="GC12" s="9"/>
      <c r="GD12" s="9"/>
      <c r="GE12" s="9"/>
      <c r="GF12" s="9"/>
      <c r="GG12" s="9"/>
      <c r="GH12" s="9"/>
      <c r="GI12" s="9"/>
      <c r="GJ12" s="9"/>
    </row>
    <row r="13" spans="1:226" s="93" customFormat="1" ht="16.5" hidden="1">
      <c r="A13" s="99" t="s">
        <v>148</v>
      </c>
      <c r="B13" s="100" t="s">
        <v>23</v>
      </c>
      <c r="C13" s="101"/>
      <c r="D13" s="106"/>
      <c r="E13" s="106"/>
      <c r="F13" s="106"/>
      <c r="G13" s="103"/>
      <c r="H13" s="98"/>
      <c r="I13" s="98"/>
      <c r="J13" s="98"/>
      <c r="K13" s="98"/>
      <c r="L13" s="98"/>
      <c r="M13" s="98"/>
      <c r="N13" s="98"/>
      <c r="O13" s="98"/>
      <c r="P13" s="98"/>
      <c r="Q13" s="98"/>
      <c r="R13" s="98"/>
      <c r="S13" s="98"/>
      <c r="T13" s="98"/>
      <c r="U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8"/>
      <c r="BA13" s="98"/>
      <c r="BB13" s="98"/>
      <c r="BC13" s="98"/>
      <c r="BD13" s="98"/>
      <c r="BE13" s="98"/>
      <c r="BF13" s="98"/>
      <c r="BG13" s="98"/>
      <c r="BH13" s="98"/>
      <c r="BI13" s="98"/>
      <c r="BJ13" s="98"/>
      <c r="BK13" s="98"/>
      <c r="BL13" s="98"/>
      <c r="BM13" s="98"/>
      <c r="BN13" s="98"/>
      <c r="BO13" s="98"/>
      <c r="BP13" s="98"/>
      <c r="BQ13" s="98"/>
      <c r="BR13" s="98"/>
      <c r="BS13" s="98"/>
      <c r="BT13" s="98"/>
      <c r="BU13" s="98"/>
      <c r="BV13" s="98"/>
      <c r="BW13" s="98"/>
      <c r="BX13" s="98"/>
      <c r="BY13" s="98"/>
      <c r="BZ13" s="98"/>
      <c r="CA13" s="98"/>
      <c r="CB13" s="98"/>
      <c r="CC13" s="98"/>
      <c r="CD13" s="98"/>
      <c r="CE13" s="98"/>
      <c r="CF13" s="98"/>
      <c r="CG13" s="98"/>
      <c r="CH13" s="98"/>
      <c r="CI13" s="98"/>
      <c r="CJ13" s="98"/>
      <c r="CK13" s="98"/>
      <c r="CL13" s="98"/>
      <c r="CM13" s="98"/>
      <c r="CN13" s="98"/>
      <c r="CO13" s="98"/>
      <c r="CP13" s="98"/>
      <c r="CQ13" s="98"/>
      <c r="CR13" s="98"/>
      <c r="CS13" s="98"/>
      <c r="CT13" s="98"/>
      <c r="CU13" s="98"/>
      <c r="CV13" s="98"/>
      <c r="CW13" s="98"/>
      <c r="CX13" s="98"/>
      <c r="CY13" s="98"/>
      <c r="CZ13" s="98"/>
      <c r="DA13" s="98"/>
      <c r="DB13" s="98"/>
      <c r="DC13" s="98"/>
      <c r="DD13" s="98"/>
      <c r="DE13" s="98"/>
      <c r="DF13" s="98"/>
      <c r="DG13" s="98"/>
      <c r="DH13" s="98"/>
      <c r="DI13" s="98"/>
      <c r="DJ13" s="98"/>
      <c r="DK13" s="98"/>
      <c r="DL13" s="98"/>
      <c r="DM13" s="98"/>
      <c r="DN13" s="98"/>
      <c r="DO13" s="98"/>
      <c r="DP13" s="98"/>
      <c r="DQ13" s="98"/>
      <c r="DR13" s="98"/>
      <c r="DS13" s="98"/>
      <c r="DT13" s="98"/>
      <c r="DU13" s="98"/>
      <c r="DV13" s="98"/>
      <c r="DW13" s="98"/>
      <c r="DX13" s="98"/>
      <c r="DY13" s="98"/>
      <c r="DZ13" s="98"/>
      <c r="EA13" s="98"/>
      <c r="EB13" s="98"/>
      <c r="EC13" s="98"/>
      <c r="ED13" s="98"/>
      <c r="EE13" s="98"/>
      <c r="EF13" s="98"/>
      <c r="EG13" s="98"/>
      <c r="EH13" s="98"/>
      <c r="EI13" s="98"/>
      <c r="EJ13" s="98"/>
      <c r="EK13" s="98"/>
      <c r="EL13" s="98"/>
      <c r="EM13" s="98"/>
      <c r="EN13" s="98"/>
      <c r="EO13" s="98"/>
      <c r="EP13" s="98"/>
      <c r="EQ13" s="98"/>
      <c r="ER13" s="98"/>
      <c r="ES13" s="98"/>
      <c r="ET13" s="98"/>
      <c r="EU13" s="98"/>
      <c r="EV13" s="98"/>
      <c r="EW13" s="98"/>
      <c r="EX13" s="98"/>
      <c r="EY13" s="98"/>
      <c r="EZ13" s="98"/>
      <c r="FA13" s="98"/>
      <c r="FB13" s="98"/>
      <c r="FC13" s="98"/>
      <c r="FD13" s="98"/>
      <c r="FE13" s="98"/>
      <c r="FF13" s="98"/>
      <c r="FG13" s="98"/>
      <c r="FH13" s="98"/>
      <c r="FI13" s="98"/>
      <c r="FJ13" s="98"/>
      <c r="FK13" s="98"/>
      <c r="FL13" s="98"/>
      <c r="FM13" s="98"/>
      <c r="FN13" s="98"/>
      <c r="FO13" s="98"/>
      <c r="FP13" s="9"/>
      <c r="FQ13" s="9"/>
      <c r="FR13" s="9"/>
      <c r="FS13" s="9"/>
      <c r="FT13" s="9"/>
      <c r="FU13" s="9"/>
      <c r="FV13" s="9"/>
      <c r="FW13" s="9"/>
      <c r="FX13" s="9"/>
      <c r="FY13" s="9"/>
      <c r="FZ13" s="9"/>
      <c r="GA13" s="9"/>
      <c r="GB13" s="9"/>
      <c r="GC13" s="9"/>
      <c r="GD13" s="9"/>
      <c r="GE13" s="9"/>
      <c r="GF13" s="9"/>
      <c r="GG13" s="9"/>
      <c r="GH13" s="9"/>
      <c r="GI13" s="9"/>
      <c r="GJ13" s="9"/>
    </row>
    <row r="14" spans="1:226" s="93" customFormat="1" ht="31.5" hidden="1">
      <c r="A14" s="104">
        <f>COUNTA($D$4:D14)</f>
        <v>7</v>
      </c>
      <c r="B14" s="105" t="s">
        <v>222</v>
      </c>
      <c r="C14" s="101"/>
      <c r="D14" s="106">
        <v>1010.0867099999999</v>
      </c>
      <c r="E14" s="106">
        <f t="shared" si="0"/>
        <v>538.37621642999989</v>
      </c>
      <c r="F14" s="106">
        <f t="shared" ref="F14:F17" si="2">+D14*46.7%</f>
        <v>471.71049356999998</v>
      </c>
      <c r="G14" s="107"/>
      <c r="H14" s="98"/>
      <c r="I14" s="98"/>
      <c r="J14" s="98"/>
      <c r="K14" s="98"/>
      <c r="L14" s="98"/>
      <c r="M14" s="98"/>
      <c r="N14" s="98"/>
      <c r="O14" s="98"/>
      <c r="P14" s="98"/>
      <c r="Q14" s="98"/>
      <c r="R14" s="98"/>
      <c r="S14" s="98"/>
      <c r="T14" s="98"/>
      <c r="U14" s="98"/>
      <c r="V14" s="98"/>
      <c r="W14" s="98"/>
      <c r="X14" s="98"/>
      <c r="Y14" s="98"/>
      <c r="Z14" s="98"/>
      <c r="AA14" s="98"/>
      <c r="AB14" s="98"/>
      <c r="AC14" s="98"/>
      <c r="AD14" s="98"/>
      <c r="AE14" s="98"/>
      <c r="AF14" s="98"/>
      <c r="AG14" s="98"/>
      <c r="AH14" s="98"/>
      <c r="AI14" s="98"/>
      <c r="AJ14" s="98"/>
      <c r="AK14" s="98"/>
      <c r="AL14" s="98"/>
      <c r="AM14" s="98"/>
      <c r="AN14" s="98"/>
      <c r="AO14" s="98"/>
      <c r="AP14" s="98"/>
      <c r="AQ14" s="98"/>
      <c r="AR14" s="98"/>
      <c r="AS14" s="98"/>
      <c r="AT14" s="98"/>
      <c r="AU14" s="98"/>
      <c r="AV14" s="98"/>
      <c r="AW14" s="98"/>
      <c r="AX14" s="98"/>
      <c r="AY14" s="98"/>
      <c r="AZ14" s="98"/>
      <c r="BA14" s="98"/>
      <c r="BB14" s="98"/>
      <c r="BC14" s="98"/>
      <c r="BD14" s="98"/>
      <c r="BE14" s="98"/>
      <c r="BF14" s="98"/>
      <c r="BG14" s="98"/>
      <c r="BH14" s="98"/>
      <c r="BI14" s="98"/>
      <c r="BJ14" s="98"/>
      <c r="BK14" s="98"/>
      <c r="BL14" s="98"/>
      <c r="BM14" s="98"/>
      <c r="BN14" s="98"/>
      <c r="BO14" s="98"/>
      <c r="BP14" s="98"/>
      <c r="BQ14" s="98"/>
      <c r="BR14" s="98"/>
      <c r="BS14" s="98"/>
      <c r="BT14" s="98"/>
      <c r="BU14" s="98"/>
      <c r="BV14" s="98"/>
      <c r="BW14" s="98"/>
      <c r="BX14" s="98"/>
      <c r="BY14" s="98"/>
      <c r="BZ14" s="98"/>
      <c r="CA14" s="98"/>
      <c r="CB14" s="98"/>
      <c r="CC14" s="98"/>
      <c r="CD14" s="98"/>
      <c r="CE14" s="98"/>
      <c r="CF14" s="98"/>
      <c r="CG14" s="98"/>
      <c r="CH14" s="98"/>
      <c r="CI14" s="98"/>
      <c r="CJ14" s="98"/>
      <c r="CK14" s="98"/>
      <c r="CL14" s="98"/>
      <c r="CM14" s="98"/>
      <c r="CN14" s="98"/>
      <c r="CO14" s="98"/>
      <c r="CP14" s="98"/>
      <c r="CQ14" s="98"/>
      <c r="CR14" s="98"/>
      <c r="CS14" s="98"/>
      <c r="CT14" s="98"/>
      <c r="CU14" s="98"/>
      <c r="CV14" s="98"/>
      <c r="CW14" s="98"/>
      <c r="CX14" s="98"/>
      <c r="CY14" s="98"/>
      <c r="CZ14" s="98"/>
      <c r="DA14" s="98"/>
      <c r="DB14" s="98"/>
      <c r="DC14" s="98"/>
      <c r="DD14" s="98"/>
      <c r="DE14" s="98"/>
      <c r="DF14" s="98"/>
      <c r="DG14" s="98"/>
      <c r="DH14" s="98"/>
      <c r="DI14" s="98"/>
      <c r="DJ14" s="98"/>
      <c r="DK14" s="98"/>
      <c r="DL14" s="98"/>
      <c r="DM14" s="98"/>
      <c r="DN14" s="98"/>
      <c r="DO14" s="98"/>
      <c r="DP14" s="98"/>
      <c r="DQ14" s="98"/>
      <c r="DR14" s="98"/>
      <c r="DS14" s="98"/>
      <c r="DT14" s="98"/>
      <c r="DU14" s="98"/>
      <c r="DV14" s="98"/>
      <c r="DW14" s="98"/>
      <c r="DX14" s="98"/>
      <c r="DY14" s="98"/>
      <c r="DZ14" s="98"/>
      <c r="EA14" s="98"/>
      <c r="EB14" s="98"/>
      <c r="EC14" s="98"/>
      <c r="ED14" s="98"/>
      <c r="EE14" s="98"/>
      <c r="EF14" s="98"/>
      <c r="EG14" s="98"/>
      <c r="EH14" s="98"/>
      <c r="EI14" s="98"/>
      <c r="EJ14" s="98"/>
      <c r="EK14" s="98"/>
      <c r="EL14" s="98"/>
      <c r="EM14" s="98"/>
      <c r="EN14" s="98"/>
      <c r="EO14" s="98"/>
      <c r="EP14" s="98"/>
      <c r="EQ14" s="98"/>
      <c r="ER14" s="98"/>
      <c r="ES14" s="98"/>
      <c r="ET14" s="98"/>
      <c r="EU14" s="98"/>
      <c r="EV14" s="98"/>
      <c r="EW14" s="98"/>
      <c r="EX14" s="98"/>
      <c r="EY14" s="98"/>
      <c r="EZ14" s="98"/>
      <c r="FA14" s="98"/>
      <c r="FB14" s="98"/>
      <c r="FC14" s="98"/>
      <c r="FD14" s="98"/>
      <c r="FE14" s="98"/>
      <c r="FF14" s="98"/>
      <c r="FG14" s="98"/>
      <c r="FH14" s="98"/>
      <c r="FI14" s="98"/>
      <c r="FJ14" s="98"/>
      <c r="FK14" s="98"/>
      <c r="FL14" s="98"/>
      <c r="FM14" s="98"/>
      <c r="FN14" s="98"/>
      <c r="FO14" s="98"/>
      <c r="FP14" s="9"/>
      <c r="FQ14" s="9"/>
      <c r="FR14" s="9"/>
      <c r="FS14" s="9"/>
      <c r="FT14" s="9"/>
      <c r="FU14" s="9"/>
      <c r="FV14" s="9"/>
      <c r="FW14" s="9"/>
      <c r="FX14" s="9"/>
      <c r="FY14" s="9"/>
      <c r="FZ14" s="9"/>
      <c r="GA14" s="9"/>
      <c r="GB14" s="9"/>
      <c r="GC14" s="9"/>
      <c r="GD14" s="9"/>
      <c r="GE14" s="9"/>
      <c r="GF14" s="9"/>
      <c r="GG14" s="9"/>
      <c r="GH14" s="9"/>
      <c r="GI14" s="9"/>
      <c r="GJ14" s="9"/>
    </row>
    <row r="15" spans="1:226" s="93" customFormat="1" ht="31.5" hidden="1">
      <c r="A15" s="104">
        <f>COUNTA($D$4:D15)</f>
        <v>8</v>
      </c>
      <c r="B15" s="105" t="s">
        <v>223</v>
      </c>
      <c r="C15" s="101" t="s">
        <v>14</v>
      </c>
      <c r="D15" s="106">
        <v>7.9750000000000005</v>
      </c>
      <c r="E15" s="106">
        <f t="shared" si="0"/>
        <v>4.2506749999999993</v>
      </c>
      <c r="F15" s="106">
        <f t="shared" si="2"/>
        <v>3.7243250000000003</v>
      </c>
      <c r="G15" s="10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8"/>
      <c r="AH15" s="98"/>
      <c r="AI15" s="98"/>
      <c r="AJ15" s="98"/>
      <c r="AK15" s="98"/>
      <c r="AL15" s="98"/>
      <c r="AM15" s="98"/>
      <c r="AN15" s="98"/>
      <c r="AO15" s="98"/>
      <c r="AP15" s="98"/>
      <c r="AQ15" s="98"/>
      <c r="AR15" s="98"/>
      <c r="AS15" s="98"/>
      <c r="AT15" s="98"/>
      <c r="AU15" s="98"/>
      <c r="AV15" s="98"/>
      <c r="AW15" s="98"/>
      <c r="AX15" s="98"/>
      <c r="AY15" s="98"/>
      <c r="AZ15" s="98"/>
      <c r="BA15" s="98"/>
      <c r="BB15" s="98"/>
      <c r="BC15" s="98"/>
      <c r="BD15" s="98"/>
      <c r="BE15" s="98"/>
      <c r="BF15" s="98"/>
      <c r="BG15" s="98"/>
      <c r="BH15" s="98"/>
      <c r="BI15" s="98"/>
      <c r="BJ15" s="98"/>
      <c r="BK15" s="98"/>
      <c r="BL15" s="98"/>
      <c r="BM15" s="98"/>
      <c r="BN15" s="98"/>
      <c r="BO15" s="98"/>
      <c r="BP15" s="98"/>
      <c r="BQ15" s="98"/>
      <c r="BR15" s="98"/>
      <c r="BS15" s="98"/>
      <c r="BT15" s="98"/>
      <c r="BU15" s="98"/>
      <c r="BV15" s="98"/>
      <c r="BW15" s="98"/>
      <c r="BX15" s="98"/>
      <c r="BY15" s="98"/>
      <c r="BZ15" s="98"/>
      <c r="CA15" s="98"/>
      <c r="CB15" s="98"/>
      <c r="CC15" s="98"/>
      <c r="CD15" s="98"/>
      <c r="CE15" s="98"/>
      <c r="CF15" s="98"/>
      <c r="CG15" s="98"/>
      <c r="CH15" s="98"/>
      <c r="CI15" s="98"/>
      <c r="CJ15" s="98"/>
      <c r="CK15" s="98"/>
      <c r="CL15" s="98"/>
      <c r="CM15" s="98"/>
      <c r="CN15" s="98"/>
      <c r="CO15" s="98"/>
      <c r="CP15" s="98"/>
      <c r="CQ15" s="98"/>
      <c r="CR15" s="98"/>
      <c r="CS15" s="98"/>
      <c r="CT15" s="98"/>
      <c r="CU15" s="98"/>
      <c r="CV15" s="98"/>
      <c r="CW15" s="98"/>
      <c r="CX15" s="98"/>
      <c r="CY15" s="98"/>
      <c r="CZ15" s="98"/>
      <c r="DA15" s="98"/>
      <c r="DB15" s="98"/>
      <c r="DC15" s="98"/>
      <c r="DD15" s="98"/>
      <c r="DE15" s="98"/>
      <c r="DF15" s="98"/>
      <c r="DG15" s="98"/>
      <c r="DH15" s="98"/>
      <c r="DI15" s="98"/>
      <c r="DJ15" s="98"/>
      <c r="DK15" s="98"/>
      <c r="DL15" s="98"/>
      <c r="DM15" s="98"/>
      <c r="DN15" s="98"/>
      <c r="DO15" s="98"/>
      <c r="DP15" s="98"/>
      <c r="DQ15" s="98"/>
      <c r="DR15" s="98"/>
      <c r="DS15" s="98"/>
      <c r="DT15" s="98"/>
      <c r="DU15" s="98"/>
      <c r="DV15" s="98"/>
      <c r="DW15" s="98"/>
      <c r="DX15" s="98"/>
      <c r="DY15" s="98"/>
      <c r="DZ15" s="98"/>
      <c r="EA15" s="98"/>
      <c r="EB15" s="98"/>
      <c r="EC15" s="98"/>
      <c r="ED15" s="98"/>
      <c r="EE15" s="98"/>
      <c r="EF15" s="98"/>
      <c r="EG15" s="98"/>
      <c r="EH15" s="98"/>
      <c r="EI15" s="98"/>
      <c r="EJ15" s="98"/>
      <c r="EK15" s="98"/>
      <c r="EL15" s="98"/>
      <c r="EM15" s="98"/>
      <c r="EN15" s="98"/>
      <c r="EO15" s="98"/>
      <c r="EP15" s="98"/>
      <c r="EQ15" s="98"/>
      <c r="ER15" s="98"/>
      <c r="ES15" s="98"/>
      <c r="ET15" s="98"/>
      <c r="EU15" s="98"/>
      <c r="EV15" s="98"/>
      <c r="EW15" s="98"/>
      <c r="EX15" s="98"/>
      <c r="EY15" s="98"/>
      <c r="EZ15" s="98"/>
      <c r="FA15" s="98"/>
      <c r="FB15" s="98"/>
      <c r="FC15" s="98"/>
      <c r="FD15" s="98"/>
      <c r="FE15" s="98"/>
      <c r="FF15" s="98"/>
      <c r="FG15" s="98"/>
      <c r="FH15" s="98"/>
      <c r="FI15" s="98"/>
      <c r="FJ15" s="98"/>
      <c r="FK15" s="98"/>
      <c r="FL15" s="98"/>
      <c r="FM15" s="98"/>
      <c r="FN15" s="98"/>
      <c r="FO15" s="98"/>
      <c r="FP15" s="9"/>
      <c r="FQ15" s="9"/>
      <c r="FR15" s="9"/>
      <c r="FS15" s="9"/>
      <c r="FT15" s="9"/>
      <c r="FU15" s="9"/>
      <c r="FV15" s="9"/>
      <c r="FW15" s="9"/>
      <c r="FX15" s="9"/>
      <c r="FY15" s="9"/>
      <c r="FZ15" s="9"/>
      <c r="GA15" s="9"/>
      <c r="GB15" s="9"/>
      <c r="GC15" s="9"/>
      <c r="GD15" s="9"/>
      <c r="GE15" s="9"/>
      <c r="GF15" s="9"/>
      <c r="GG15" s="9"/>
      <c r="GH15" s="9"/>
      <c r="GI15" s="9"/>
      <c r="GJ15" s="9"/>
    </row>
    <row r="16" spans="1:226" s="93" customFormat="1" ht="31.5" hidden="1">
      <c r="A16" s="104">
        <f>COUNTA($D$4:D16)</f>
        <v>9</v>
      </c>
      <c r="B16" s="105" t="s">
        <v>224</v>
      </c>
      <c r="C16" s="101" t="s">
        <v>14</v>
      </c>
      <c r="D16" s="106">
        <v>542.54653199999996</v>
      </c>
      <c r="E16" s="106">
        <f t="shared" si="0"/>
        <v>289.17730155599992</v>
      </c>
      <c r="F16" s="106">
        <f t="shared" si="2"/>
        <v>253.36923044399998</v>
      </c>
      <c r="G16" s="108"/>
      <c r="H16" s="98"/>
      <c r="I16" s="98"/>
      <c r="J16" s="98"/>
      <c r="K16" s="98"/>
      <c r="L16" s="98"/>
      <c r="M16" s="98"/>
      <c r="N16" s="98"/>
      <c r="O16" s="98"/>
      <c r="P16" s="98"/>
      <c r="Q16" s="98"/>
      <c r="R16" s="98"/>
      <c r="S16" s="98"/>
      <c r="T16" s="98"/>
      <c r="U16" s="98"/>
      <c r="V16" s="98"/>
      <c r="W16" s="98"/>
      <c r="X16" s="98"/>
      <c r="Y16" s="98"/>
      <c r="Z16" s="98"/>
      <c r="AA16" s="98"/>
      <c r="AB16" s="98"/>
      <c r="AC16" s="98"/>
      <c r="AD16" s="98"/>
      <c r="AE16" s="98"/>
      <c r="AF16" s="98"/>
      <c r="AG16" s="98"/>
      <c r="AH16" s="98"/>
      <c r="AI16" s="98"/>
      <c r="AJ16" s="98"/>
      <c r="AK16" s="98"/>
      <c r="AL16" s="98"/>
      <c r="AM16" s="98"/>
      <c r="AN16" s="98"/>
      <c r="AO16" s="98"/>
      <c r="AP16" s="98"/>
      <c r="AQ16" s="98"/>
      <c r="AR16" s="98"/>
      <c r="AS16" s="98"/>
      <c r="AT16" s="98"/>
      <c r="AU16" s="98"/>
      <c r="AV16" s="98"/>
      <c r="AW16" s="98"/>
      <c r="AX16" s="98"/>
      <c r="AY16" s="98"/>
      <c r="AZ16" s="98"/>
      <c r="BA16" s="98"/>
      <c r="BB16" s="98"/>
      <c r="BC16" s="98"/>
      <c r="BD16" s="98"/>
      <c r="BE16" s="98"/>
      <c r="BF16" s="98"/>
      <c r="BG16" s="98"/>
      <c r="BH16" s="98"/>
      <c r="BI16" s="98"/>
      <c r="BJ16" s="98"/>
      <c r="BK16" s="98"/>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8"/>
      <c r="CK16" s="98"/>
      <c r="CL16" s="98"/>
      <c r="CM16" s="98"/>
      <c r="CN16" s="98"/>
      <c r="CO16" s="98"/>
      <c r="CP16" s="98"/>
      <c r="CQ16" s="98"/>
      <c r="CR16" s="98"/>
      <c r="CS16" s="98"/>
      <c r="CT16" s="98"/>
      <c r="CU16" s="98"/>
      <c r="CV16" s="98"/>
      <c r="CW16" s="98"/>
      <c r="CX16" s="98"/>
      <c r="CY16" s="98"/>
      <c r="CZ16" s="98"/>
      <c r="DA16" s="98"/>
      <c r="DB16" s="98"/>
      <c r="DC16" s="98"/>
      <c r="DD16" s="98"/>
      <c r="DE16" s="98"/>
      <c r="DF16" s="98"/>
      <c r="DG16" s="98"/>
      <c r="DH16" s="98"/>
      <c r="DI16" s="98"/>
      <c r="DJ16" s="98"/>
      <c r="DK16" s="98"/>
      <c r="DL16" s="98"/>
      <c r="DM16" s="98"/>
      <c r="DN16" s="98"/>
      <c r="DO16" s="98"/>
      <c r="DP16" s="98"/>
      <c r="DQ16" s="98"/>
      <c r="DR16" s="98"/>
      <c r="DS16" s="98"/>
      <c r="DT16" s="98"/>
      <c r="DU16" s="98"/>
      <c r="DV16" s="98"/>
      <c r="DW16" s="98"/>
      <c r="DX16" s="98"/>
      <c r="DY16" s="98"/>
      <c r="DZ16" s="98"/>
      <c r="EA16" s="98"/>
      <c r="EB16" s="98"/>
      <c r="EC16" s="98"/>
      <c r="ED16" s="98"/>
      <c r="EE16" s="98"/>
      <c r="EF16" s="98"/>
      <c r="EG16" s="98"/>
      <c r="EH16" s="98"/>
      <c r="EI16" s="98"/>
      <c r="EJ16" s="98"/>
      <c r="EK16" s="98"/>
      <c r="EL16" s="98"/>
      <c r="EM16" s="98"/>
      <c r="EN16" s="98"/>
      <c r="EO16" s="98"/>
      <c r="EP16" s="98"/>
      <c r="EQ16" s="98"/>
      <c r="ER16" s="98"/>
      <c r="ES16" s="98"/>
      <c r="ET16" s="98"/>
      <c r="EU16" s="98"/>
      <c r="EV16" s="98"/>
      <c r="EW16" s="98"/>
      <c r="EX16" s="98"/>
      <c r="EY16" s="98"/>
      <c r="EZ16" s="98"/>
      <c r="FA16" s="98"/>
      <c r="FB16" s="98"/>
      <c r="FC16" s="98"/>
      <c r="FD16" s="98"/>
      <c r="FE16" s="98"/>
      <c r="FF16" s="98"/>
      <c r="FG16" s="98"/>
      <c r="FH16" s="98"/>
      <c r="FI16" s="98"/>
      <c r="FJ16" s="98"/>
      <c r="FK16" s="98"/>
      <c r="FL16" s="98"/>
      <c r="FM16" s="98"/>
      <c r="FN16" s="98"/>
      <c r="FO16" s="98"/>
      <c r="FP16" s="9"/>
      <c r="FQ16" s="9"/>
      <c r="FR16" s="9"/>
      <c r="FS16" s="9"/>
      <c r="FT16" s="9"/>
      <c r="FU16" s="9"/>
      <c r="FV16" s="9"/>
      <c r="FW16" s="9"/>
      <c r="FX16" s="9"/>
      <c r="FY16" s="9"/>
      <c r="FZ16" s="9"/>
      <c r="GA16" s="9"/>
      <c r="GB16" s="9"/>
      <c r="GC16" s="9"/>
      <c r="GD16" s="9"/>
      <c r="GE16" s="9"/>
      <c r="GF16" s="9"/>
      <c r="GG16" s="9"/>
      <c r="GH16" s="9"/>
      <c r="GI16" s="9"/>
      <c r="GJ16" s="9"/>
    </row>
    <row r="17" spans="1:192" s="93" customFormat="1" ht="31.5" hidden="1">
      <c r="A17" s="104">
        <f>COUNTA($D$4:D17)</f>
        <v>10</v>
      </c>
      <c r="B17" s="105" t="s">
        <v>225</v>
      </c>
      <c r="C17" s="101" t="s">
        <v>22</v>
      </c>
      <c r="D17" s="106">
        <v>26524</v>
      </c>
      <c r="E17" s="106">
        <f t="shared" si="0"/>
        <v>14137.291999999998</v>
      </c>
      <c r="F17" s="106">
        <f t="shared" si="2"/>
        <v>12386.708000000001</v>
      </c>
      <c r="G17" s="108"/>
      <c r="H17" s="98"/>
      <c r="I17" s="98"/>
      <c r="J17" s="98"/>
      <c r="K17" s="98"/>
      <c r="L17" s="98"/>
      <c r="M17" s="98"/>
      <c r="N17" s="98"/>
      <c r="O17" s="98"/>
      <c r="P17" s="98"/>
      <c r="Q17" s="98"/>
      <c r="R17" s="98"/>
      <c r="S17" s="98"/>
      <c r="T17" s="98"/>
      <c r="U17" s="98"/>
      <c r="V17" s="98"/>
      <c r="W17" s="98"/>
      <c r="X17" s="98"/>
      <c r="Y17" s="98"/>
      <c r="Z17" s="98"/>
      <c r="AA17" s="98"/>
      <c r="AB17" s="98"/>
      <c r="AC17" s="98"/>
      <c r="AD17" s="98"/>
      <c r="AE17" s="98"/>
      <c r="AF17" s="98"/>
      <c r="AG17" s="98"/>
      <c r="AH17" s="98"/>
      <c r="AI17" s="98"/>
      <c r="AJ17" s="98"/>
      <c r="AK17" s="98"/>
      <c r="AL17" s="98"/>
      <c r="AM17" s="98"/>
      <c r="AN17" s="98"/>
      <c r="AO17" s="98"/>
      <c r="AP17" s="98"/>
      <c r="AQ17" s="98"/>
      <c r="AR17" s="98"/>
      <c r="AS17" s="98"/>
      <c r="AT17" s="98"/>
      <c r="AU17" s="98"/>
      <c r="AV17" s="98"/>
      <c r="AW17" s="98"/>
      <c r="AX17" s="98"/>
      <c r="AY17" s="98"/>
      <c r="AZ17" s="98"/>
      <c r="BA17" s="98"/>
      <c r="BB17" s="98"/>
      <c r="BC17" s="98"/>
      <c r="BD17" s="98"/>
      <c r="BE17" s="98"/>
      <c r="BF17" s="98"/>
      <c r="BG17" s="98"/>
      <c r="BH17" s="98"/>
      <c r="BI17" s="98"/>
      <c r="BJ17" s="98"/>
      <c r="BK17" s="98"/>
      <c r="BL17" s="98"/>
      <c r="BM17" s="98"/>
      <c r="BN17" s="98"/>
      <c r="BO17" s="98"/>
      <c r="BP17" s="98"/>
      <c r="BQ17" s="98"/>
      <c r="BR17" s="98"/>
      <c r="BS17" s="98"/>
      <c r="BT17" s="98"/>
      <c r="BU17" s="98"/>
      <c r="BV17" s="98"/>
      <c r="BW17" s="98"/>
      <c r="BX17" s="98"/>
      <c r="BY17" s="98"/>
      <c r="BZ17" s="98"/>
      <c r="CA17" s="98"/>
      <c r="CB17" s="98"/>
      <c r="CC17" s="98"/>
      <c r="CD17" s="98"/>
      <c r="CE17" s="98"/>
      <c r="CF17" s="98"/>
      <c r="CG17" s="98"/>
      <c r="CH17" s="98"/>
      <c r="CI17" s="98"/>
      <c r="CJ17" s="98"/>
      <c r="CK17" s="98"/>
      <c r="CL17" s="98"/>
      <c r="CM17" s="98"/>
      <c r="CN17" s="98"/>
      <c r="CO17" s="98"/>
      <c r="CP17" s="98"/>
      <c r="CQ17" s="98"/>
      <c r="CR17" s="98"/>
      <c r="CS17" s="98"/>
      <c r="CT17" s="98"/>
      <c r="CU17" s="98"/>
      <c r="CV17" s="98"/>
      <c r="CW17" s="98"/>
      <c r="CX17" s="98"/>
      <c r="CY17" s="98"/>
      <c r="CZ17" s="98"/>
      <c r="DA17" s="98"/>
      <c r="DB17" s="98"/>
      <c r="DC17" s="98"/>
      <c r="DD17" s="98"/>
      <c r="DE17" s="98"/>
      <c r="DF17" s="98"/>
      <c r="DG17" s="98"/>
      <c r="DH17" s="98"/>
      <c r="DI17" s="98"/>
      <c r="DJ17" s="98"/>
      <c r="DK17" s="98"/>
      <c r="DL17" s="98"/>
      <c r="DM17" s="98"/>
      <c r="DN17" s="98"/>
      <c r="DO17" s="98"/>
      <c r="DP17" s="98"/>
      <c r="DQ17" s="98"/>
      <c r="DR17" s="98"/>
      <c r="DS17" s="98"/>
      <c r="DT17" s="98"/>
      <c r="DU17" s="98"/>
      <c r="DV17" s="98"/>
      <c r="DW17" s="98"/>
      <c r="DX17" s="98"/>
      <c r="DY17" s="98"/>
      <c r="DZ17" s="98"/>
      <c r="EA17" s="98"/>
      <c r="EB17" s="98"/>
      <c r="EC17" s="98"/>
      <c r="ED17" s="98"/>
      <c r="EE17" s="98"/>
      <c r="EF17" s="98"/>
      <c r="EG17" s="98"/>
      <c r="EH17" s="98"/>
      <c r="EI17" s="98"/>
      <c r="EJ17" s="98"/>
      <c r="EK17" s="98"/>
      <c r="EL17" s="98"/>
      <c r="EM17" s="98"/>
      <c r="EN17" s="98"/>
      <c r="EO17" s="98"/>
      <c r="EP17" s="98"/>
      <c r="EQ17" s="98"/>
      <c r="ER17" s="98"/>
      <c r="ES17" s="98"/>
      <c r="ET17" s="98"/>
      <c r="EU17" s="98"/>
      <c r="EV17" s="98"/>
      <c r="EW17" s="98"/>
      <c r="EX17" s="98"/>
      <c r="EY17" s="98"/>
      <c r="EZ17" s="98"/>
      <c r="FA17" s="98"/>
      <c r="FB17" s="98"/>
      <c r="FC17" s="98"/>
      <c r="FD17" s="98"/>
      <c r="FE17" s="98"/>
      <c r="FF17" s="98"/>
      <c r="FG17" s="98"/>
      <c r="FH17" s="98"/>
      <c r="FI17" s="98"/>
      <c r="FJ17" s="98"/>
      <c r="FK17" s="98"/>
      <c r="FL17" s="98"/>
      <c r="FM17" s="98"/>
      <c r="FN17" s="98"/>
      <c r="FO17" s="98"/>
      <c r="FP17" s="9"/>
      <c r="FQ17" s="9"/>
      <c r="FR17" s="9"/>
      <c r="FS17" s="9"/>
      <c r="FT17" s="9"/>
      <c r="FU17" s="9"/>
      <c r="FV17" s="9"/>
      <c r="FW17" s="9"/>
      <c r="FX17" s="9"/>
      <c r="FY17" s="9"/>
      <c r="FZ17" s="9"/>
      <c r="GA17" s="9"/>
      <c r="GB17" s="9"/>
      <c r="GC17" s="9"/>
      <c r="GD17" s="9"/>
      <c r="GE17" s="9"/>
      <c r="GF17" s="9"/>
      <c r="GG17" s="9"/>
      <c r="GH17" s="9"/>
      <c r="GI17" s="9"/>
      <c r="GJ17" s="9"/>
    </row>
    <row r="18" spans="1:192" s="93" customFormat="1" ht="16.5" hidden="1">
      <c r="A18" s="99" t="s">
        <v>148</v>
      </c>
      <c r="B18" s="100" t="s">
        <v>27</v>
      </c>
      <c r="C18" s="101"/>
      <c r="D18" s="106"/>
      <c r="E18" s="106"/>
      <c r="F18" s="106"/>
      <c r="G18" s="103"/>
      <c r="H18" s="98"/>
      <c r="I18" s="98"/>
      <c r="J18" s="98"/>
      <c r="K18" s="98"/>
      <c r="L18" s="98"/>
      <c r="M18" s="98"/>
      <c r="N18" s="98"/>
      <c r="O18" s="98"/>
      <c r="P18" s="98"/>
      <c r="Q18" s="98"/>
      <c r="R18" s="98"/>
      <c r="S18" s="98"/>
      <c r="T18" s="98"/>
      <c r="U18" s="98"/>
      <c r="V18" s="98"/>
      <c r="W18" s="98"/>
      <c r="X18" s="98"/>
      <c r="Y18" s="98"/>
      <c r="Z18" s="98"/>
      <c r="AA18" s="98"/>
      <c r="AB18" s="98"/>
      <c r="AC18" s="98"/>
      <c r="AD18" s="98"/>
      <c r="AE18" s="98"/>
      <c r="AF18" s="98"/>
      <c r="AG18" s="98"/>
      <c r="AH18" s="98"/>
      <c r="AI18" s="98"/>
      <c r="AJ18" s="98"/>
      <c r="AK18" s="98"/>
      <c r="AL18" s="98"/>
      <c r="AM18" s="98"/>
      <c r="AN18" s="98"/>
      <c r="AO18" s="98"/>
      <c r="AP18" s="98"/>
      <c r="AQ18" s="98"/>
      <c r="AR18" s="98"/>
      <c r="AS18" s="98"/>
      <c r="AT18" s="98"/>
      <c r="AU18" s="98"/>
      <c r="AV18" s="98"/>
      <c r="AW18" s="98"/>
      <c r="AX18" s="98"/>
      <c r="AY18" s="98"/>
      <c r="AZ18" s="98"/>
      <c r="BA18" s="98"/>
      <c r="BB18" s="98"/>
      <c r="BC18" s="98"/>
      <c r="BD18" s="98"/>
      <c r="BE18" s="98"/>
      <c r="BF18" s="98"/>
      <c r="BG18" s="98"/>
      <c r="BH18" s="98"/>
      <c r="BI18" s="98"/>
      <c r="BJ18" s="98"/>
      <c r="BK18" s="98"/>
      <c r="BL18" s="98"/>
      <c r="BM18" s="98"/>
      <c r="BN18" s="98"/>
      <c r="BO18" s="98"/>
      <c r="BP18" s="98"/>
      <c r="BQ18" s="98"/>
      <c r="BR18" s="98"/>
      <c r="BS18" s="98"/>
      <c r="BT18" s="98"/>
      <c r="BU18" s="98"/>
      <c r="BV18" s="98"/>
      <c r="BW18" s="98"/>
      <c r="BX18" s="98"/>
      <c r="BY18" s="98"/>
      <c r="BZ18" s="98"/>
      <c r="CA18" s="98"/>
      <c r="CB18" s="98"/>
      <c r="CC18" s="98"/>
      <c r="CD18" s="98"/>
      <c r="CE18" s="98"/>
      <c r="CF18" s="98"/>
      <c r="CG18" s="98"/>
      <c r="CH18" s="98"/>
      <c r="CI18" s="98"/>
      <c r="CJ18" s="98"/>
      <c r="CK18" s="98"/>
      <c r="CL18" s="98"/>
      <c r="CM18" s="98"/>
      <c r="CN18" s="98"/>
      <c r="CO18" s="98"/>
      <c r="CP18" s="98"/>
      <c r="CQ18" s="98"/>
      <c r="CR18" s="98"/>
      <c r="CS18" s="98"/>
      <c r="CT18" s="98"/>
      <c r="CU18" s="98"/>
      <c r="CV18" s="98"/>
      <c r="CW18" s="98"/>
      <c r="CX18" s="98"/>
      <c r="CY18" s="98"/>
      <c r="CZ18" s="98"/>
      <c r="DA18" s="98"/>
      <c r="DB18" s="98"/>
      <c r="DC18" s="98"/>
      <c r="DD18" s="98"/>
      <c r="DE18" s="98"/>
      <c r="DF18" s="98"/>
      <c r="DG18" s="98"/>
      <c r="DH18" s="98"/>
      <c r="DI18" s="98"/>
      <c r="DJ18" s="98"/>
      <c r="DK18" s="98"/>
      <c r="DL18" s="98"/>
      <c r="DM18" s="98"/>
      <c r="DN18" s="98"/>
      <c r="DO18" s="98"/>
      <c r="DP18" s="98"/>
      <c r="DQ18" s="98"/>
      <c r="DR18" s="98"/>
      <c r="DS18" s="98"/>
      <c r="DT18" s="98"/>
      <c r="DU18" s="98"/>
      <c r="DV18" s="98"/>
      <c r="DW18" s="98"/>
      <c r="DX18" s="98"/>
      <c r="DY18" s="98"/>
      <c r="DZ18" s="98"/>
      <c r="EA18" s="98"/>
      <c r="EB18" s="98"/>
      <c r="EC18" s="98"/>
      <c r="ED18" s="98"/>
      <c r="EE18" s="98"/>
      <c r="EF18" s="98"/>
      <c r="EG18" s="98"/>
      <c r="EH18" s="98"/>
      <c r="EI18" s="98"/>
      <c r="EJ18" s="98"/>
      <c r="EK18" s="98"/>
      <c r="EL18" s="98"/>
      <c r="EM18" s="98"/>
      <c r="EN18" s="98"/>
      <c r="EO18" s="98"/>
      <c r="EP18" s="98"/>
      <c r="EQ18" s="98"/>
      <c r="ER18" s="98"/>
      <c r="ES18" s="98"/>
      <c r="ET18" s="98"/>
      <c r="EU18" s="98"/>
      <c r="EV18" s="98"/>
      <c r="EW18" s="98"/>
      <c r="EX18" s="98"/>
      <c r="EY18" s="98"/>
      <c r="EZ18" s="98"/>
      <c r="FA18" s="98"/>
      <c r="FB18" s="98"/>
      <c r="FC18" s="98"/>
      <c r="FD18" s="98"/>
      <c r="FE18" s="98"/>
      <c r="FF18" s="98"/>
      <c r="FG18" s="98"/>
      <c r="FH18" s="98"/>
      <c r="FI18" s="98"/>
      <c r="FJ18" s="98"/>
      <c r="FK18" s="98"/>
      <c r="FL18" s="98"/>
      <c r="FM18" s="98"/>
      <c r="FN18" s="98"/>
      <c r="FO18" s="98"/>
      <c r="FP18" s="9"/>
      <c r="FQ18" s="9"/>
      <c r="FR18" s="9"/>
      <c r="FS18" s="9"/>
      <c r="FT18" s="9"/>
      <c r="FU18" s="9"/>
      <c r="FV18" s="9"/>
      <c r="FW18" s="9"/>
      <c r="FX18" s="9"/>
      <c r="FY18" s="9"/>
      <c r="FZ18" s="9"/>
      <c r="GA18" s="9"/>
      <c r="GB18" s="9"/>
      <c r="GC18" s="9"/>
      <c r="GD18" s="9"/>
      <c r="GE18" s="9"/>
      <c r="GF18" s="9"/>
      <c r="GG18" s="9"/>
      <c r="GH18" s="9"/>
      <c r="GI18" s="9"/>
      <c r="GJ18" s="9"/>
    </row>
    <row r="19" spans="1:192" s="93" customFormat="1" ht="47.25" hidden="1">
      <c r="A19" s="104">
        <f>COUNTA($D$4:D19)</f>
        <v>11</v>
      </c>
      <c r="B19" s="105" t="s">
        <v>226</v>
      </c>
      <c r="C19" s="101" t="s">
        <v>12</v>
      </c>
      <c r="D19" s="109">
        <f>+'[1]KL TONG'!$D$10</f>
        <v>68441.753880000018</v>
      </c>
      <c r="E19" s="106">
        <f t="shared" si="0"/>
        <v>36479.454818040002</v>
      </c>
      <c r="F19" s="106">
        <f t="shared" ref="F19:F20" si="3">+D19*46.7%</f>
        <v>31962.29906196001</v>
      </c>
      <c r="G19" s="110" t="s">
        <v>227</v>
      </c>
      <c r="H19" s="98"/>
      <c r="I19" s="98"/>
      <c r="J19" s="98"/>
      <c r="K19" s="98"/>
      <c r="L19" s="98"/>
      <c r="M19" s="98"/>
      <c r="N19" s="98"/>
      <c r="O19" s="98"/>
      <c r="P19" s="98"/>
      <c r="Q19" s="98"/>
      <c r="R19" s="98"/>
      <c r="S19" s="98"/>
      <c r="T19" s="98"/>
      <c r="U19" s="98"/>
      <c r="V19" s="98"/>
      <c r="W19" s="98"/>
      <c r="X19" s="98"/>
      <c r="Y19" s="98"/>
      <c r="Z19" s="98"/>
      <c r="AA19" s="98"/>
      <c r="AB19" s="98"/>
      <c r="AC19" s="98"/>
      <c r="AD19" s="98"/>
      <c r="AE19" s="98"/>
      <c r="AF19" s="98"/>
      <c r="AG19" s="98"/>
      <c r="AH19" s="98"/>
      <c r="AI19" s="98"/>
      <c r="AJ19" s="98"/>
      <c r="AK19" s="98"/>
      <c r="AL19" s="98"/>
      <c r="AM19" s="98"/>
      <c r="AN19" s="98"/>
      <c r="AO19" s="98"/>
      <c r="AP19" s="98"/>
      <c r="AQ19" s="98"/>
      <c r="AR19" s="98"/>
      <c r="AS19" s="98"/>
      <c r="AT19" s="98"/>
      <c r="AU19" s="98"/>
      <c r="AV19" s="98"/>
      <c r="AW19" s="98"/>
      <c r="AX19" s="98"/>
      <c r="AY19" s="98"/>
      <c r="AZ19" s="98"/>
      <c r="BA19" s="98"/>
      <c r="BB19" s="98"/>
      <c r="BC19" s="98"/>
      <c r="BD19" s="98"/>
      <c r="BE19" s="98"/>
      <c r="BF19" s="98"/>
      <c r="BG19" s="98"/>
      <c r="BH19" s="98"/>
      <c r="BI19" s="98"/>
      <c r="BJ19" s="98"/>
      <c r="BK19" s="98"/>
      <c r="BL19" s="98"/>
      <c r="BM19" s="98"/>
      <c r="BN19" s="98"/>
      <c r="BO19" s="98"/>
      <c r="BP19" s="98"/>
      <c r="BQ19" s="98"/>
      <c r="BR19" s="98"/>
      <c r="BS19" s="98"/>
      <c r="BT19" s="98"/>
      <c r="BU19" s="98"/>
      <c r="BV19" s="98"/>
      <c r="BW19" s="98"/>
      <c r="BX19" s="98"/>
      <c r="BY19" s="98"/>
      <c r="BZ19" s="98"/>
      <c r="CA19" s="98"/>
      <c r="CB19" s="98"/>
      <c r="CC19" s="98"/>
      <c r="CD19" s="98"/>
      <c r="CE19" s="98"/>
      <c r="CF19" s="98"/>
      <c r="CG19" s="98"/>
      <c r="CH19" s="98"/>
      <c r="CI19" s="98"/>
      <c r="CJ19" s="98"/>
      <c r="CK19" s="98"/>
      <c r="CL19" s="98"/>
      <c r="CM19" s="98"/>
      <c r="CN19" s="98"/>
      <c r="CO19" s="98"/>
      <c r="CP19" s="98"/>
      <c r="CQ19" s="98"/>
      <c r="CR19" s="98"/>
      <c r="CS19" s="98"/>
      <c r="CT19" s="98"/>
      <c r="CU19" s="98"/>
      <c r="CV19" s="98"/>
      <c r="CW19" s="98"/>
      <c r="CX19" s="98"/>
      <c r="CY19" s="98"/>
      <c r="CZ19" s="98"/>
      <c r="DA19" s="98"/>
      <c r="DB19" s="98"/>
      <c r="DC19" s="98"/>
      <c r="DD19" s="98"/>
      <c r="DE19" s="98"/>
      <c r="DF19" s="98"/>
      <c r="DG19" s="98"/>
      <c r="DH19" s="98"/>
      <c r="DI19" s="98"/>
      <c r="DJ19" s="98"/>
      <c r="DK19" s="98"/>
      <c r="DL19" s="98"/>
      <c r="DM19" s="98"/>
      <c r="DN19" s="98"/>
      <c r="DO19" s="98"/>
      <c r="DP19" s="98"/>
      <c r="DQ19" s="98"/>
      <c r="DR19" s="98"/>
      <c r="DS19" s="98"/>
      <c r="DT19" s="98"/>
      <c r="DU19" s="98"/>
      <c r="DV19" s="98"/>
      <c r="DW19" s="98"/>
      <c r="DX19" s="98"/>
      <c r="DY19" s="98"/>
      <c r="DZ19" s="98"/>
      <c r="EA19" s="98"/>
      <c r="EB19" s="98"/>
      <c r="EC19" s="98"/>
      <c r="ED19" s="98"/>
      <c r="EE19" s="98"/>
      <c r="EF19" s="98"/>
      <c r="EG19" s="98"/>
      <c r="EH19" s="98"/>
      <c r="EI19" s="98"/>
      <c r="EJ19" s="98"/>
      <c r="EK19" s="98"/>
      <c r="EL19" s="98"/>
      <c r="EM19" s="98"/>
      <c r="EN19" s="98"/>
      <c r="EO19" s="98"/>
      <c r="EP19" s="98"/>
      <c r="EQ19" s="98"/>
      <c r="ER19" s="98"/>
      <c r="ES19" s="98"/>
      <c r="ET19" s="98"/>
      <c r="EU19" s="98"/>
      <c r="EV19" s="98"/>
      <c r="EW19" s="98"/>
      <c r="EX19" s="98"/>
      <c r="EY19" s="98"/>
      <c r="EZ19" s="98"/>
      <c r="FA19" s="98"/>
      <c r="FB19" s="98"/>
      <c r="FC19" s="98"/>
      <c r="FD19" s="98"/>
      <c r="FE19" s="98"/>
      <c r="FF19" s="98"/>
      <c r="FG19" s="98"/>
      <c r="FH19" s="98"/>
      <c r="FI19" s="98"/>
      <c r="FJ19" s="98"/>
      <c r="FK19" s="98"/>
      <c r="FL19" s="98"/>
      <c r="FM19" s="98"/>
      <c r="FN19" s="98"/>
      <c r="FO19" s="98"/>
      <c r="FP19" s="9"/>
      <c r="FQ19" s="9"/>
      <c r="FR19" s="9"/>
      <c r="FS19" s="9"/>
      <c r="FT19" s="9"/>
      <c r="FU19" s="9"/>
      <c r="FV19" s="9"/>
      <c r="FW19" s="9"/>
      <c r="FX19" s="9"/>
      <c r="FY19" s="9"/>
      <c r="FZ19" s="9"/>
      <c r="GA19" s="9"/>
      <c r="GB19" s="9"/>
      <c r="GC19" s="9"/>
      <c r="GD19" s="9"/>
      <c r="GE19" s="9"/>
      <c r="GF19" s="9"/>
      <c r="GG19" s="9"/>
      <c r="GH19" s="9"/>
      <c r="GI19" s="9"/>
      <c r="GJ19" s="9"/>
    </row>
    <row r="20" spans="1:192" s="93" customFormat="1" ht="16.5" hidden="1">
      <c r="A20" s="104">
        <f>COUNTA($D$4:D20)</f>
        <v>12</v>
      </c>
      <c r="B20" s="105" t="s">
        <v>228</v>
      </c>
      <c r="C20" s="101" t="s">
        <v>28</v>
      </c>
      <c r="D20" s="106">
        <v>4245.3599999999997</v>
      </c>
      <c r="E20" s="106">
        <f t="shared" si="0"/>
        <v>2262.7768799999994</v>
      </c>
      <c r="F20" s="106">
        <f t="shared" si="3"/>
        <v>1982.58312</v>
      </c>
      <c r="G20" s="108"/>
      <c r="H20" s="98"/>
      <c r="I20" s="98"/>
      <c r="J20" s="98"/>
      <c r="K20" s="98"/>
      <c r="L20" s="98"/>
      <c r="M20" s="98"/>
      <c r="N20" s="98"/>
      <c r="O20" s="98"/>
      <c r="P20" s="98"/>
      <c r="Q20" s="98"/>
      <c r="R20" s="98"/>
      <c r="S20" s="98"/>
      <c r="T20" s="98"/>
      <c r="U20" s="98"/>
      <c r="V20" s="98"/>
      <c r="W20" s="98"/>
      <c r="X20" s="98"/>
      <c r="Y20" s="98"/>
      <c r="Z20" s="98"/>
      <c r="AA20" s="98"/>
      <c r="AB20" s="98"/>
      <c r="AC20" s="98"/>
      <c r="AD20" s="98"/>
      <c r="AE20" s="98"/>
      <c r="AF20" s="98"/>
      <c r="AG20" s="98"/>
      <c r="AH20" s="98"/>
      <c r="AI20" s="98"/>
      <c r="AJ20" s="98"/>
      <c r="AK20" s="98"/>
      <c r="AL20" s="98"/>
      <c r="AM20" s="98"/>
      <c r="AN20" s="98"/>
      <c r="AO20" s="98"/>
      <c r="AP20" s="98"/>
      <c r="AQ20" s="98"/>
      <c r="AR20" s="98"/>
      <c r="AS20" s="98"/>
      <c r="AT20" s="98"/>
      <c r="AU20" s="98"/>
      <c r="AV20" s="98"/>
      <c r="AW20" s="98"/>
      <c r="AX20" s="98"/>
      <c r="AY20" s="98"/>
      <c r="AZ20" s="98"/>
      <c r="BA20" s="98"/>
      <c r="BB20" s="98"/>
      <c r="BC20" s="98"/>
      <c r="BD20" s="98"/>
      <c r="BE20" s="98"/>
      <c r="BF20" s="98"/>
      <c r="BG20" s="98"/>
      <c r="BH20" s="98"/>
      <c r="BI20" s="98"/>
      <c r="BJ20" s="98"/>
      <c r="BK20" s="98"/>
      <c r="BL20" s="98"/>
      <c r="BM20" s="98"/>
      <c r="BN20" s="98"/>
      <c r="BO20" s="98"/>
      <c r="BP20" s="98"/>
      <c r="BQ20" s="98"/>
      <c r="BR20" s="98"/>
      <c r="BS20" s="98"/>
      <c r="BT20" s="98"/>
      <c r="BU20" s="98"/>
      <c r="BV20" s="98"/>
      <c r="BW20" s="98"/>
      <c r="BX20" s="98"/>
      <c r="BY20" s="98"/>
      <c r="BZ20" s="98"/>
      <c r="CA20" s="98"/>
      <c r="CB20" s="98"/>
      <c r="CC20" s="98"/>
      <c r="CD20" s="98"/>
      <c r="CE20" s="98"/>
      <c r="CF20" s="98"/>
      <c r="CG20" s="98"/>
      <c r="CH20" s="98"/>
      <c r="CI20" s="98"/>
      <c r="CJ20" s="98"/>
      <c r="CK20" s="98"/>
      <c r="CL20" s="98"/>
      <c r="CM20" s="98"/>
      <c r="CN20" s="98"/>
      <c r="CO20" s="98"/>
      <c r="CP20" s="98"/>
      <c r="CQ20" s="98"/>
      <c r="CR20" s="98"/>
      <c r="CS20" s="98"/>
      <c r="CT20" s="98"/>
      <c r="CU20" s="98"/>
      <c r="CV20" s="98"/>
      <c r="CW20" s="98"/>
      <c r="CX20" s="98"/>
      <c r="CY20" s="98"/>
      <c r="CZ20" s="98"/>
      <c r="DA20" s="98"/>
      <c r="DB20" s="98"/>
      <c r="DC20" s="98"/>
      <c r="DD20" s="98"/>
      <c r="DE20" s="98"/>
      <c r="DF20" s="98"/>
      <c r="DG20" s="98"/>
      <c r="DH20" s="98"/>
      <c r="DI20" s="98"/>
      <c r="DJ20" s="98"/>
      <c r="DK20" s="98"/>
      <c r="DL20" s="98"/>
      <c r="DM20" s="98"/>
      <c r="DN20" s="98"/>
      <c r="DO20" s="98"/>
      <c r="DP20" s="98"/>
      <c r="DQ20" s="98"/>
      <c r="DR20" s="98"/>
      <c r="DS20" s="98"/>
      <c r="DT20" s="98"/>
      <c r="DU20" s="98"/>
      <c r="DV20" s="98"/>
      <c r="DW20" s="98"/>
      <c r="DX20" s="98"/>
      <c r="DY20" s="98"/>
      <c r="DZ20" s="98"/>
      <c r="EA20" s="98"/>
      <c r="EB20" s="98"/>
      <c r="EC20" s="98"/>
      <c r="ED20" s="98"/>
      <c r="EE20" s="98"/>
      <c r="EF20" s="98"/>
      <c r="EG20" s="98"/>
      <c r="EH20" s="98"/>
      <c r="EI20" s="98"/>
      <c r="EJ20" s="98"/>
      <c r="EK20" s="98"/>
      <c r="EL20" s="98"/>
      <c r="EM20" s="98"/>
      <c r="EN20" s="98"/>
      <c r="EO20" s="98"/>
      <c r="EP20" s="98"/>
      <c r="EQ20" s="98"/>
      <c r="ER20" s="98"/>
      <c r="ES20" s="98"/>
      <c r="ET20" s="98"/>
      <c r="EU20" s="98"/>
      <c r="EV20" s="98"/>
      <c r="EW20" s="98"/>
      <c r="EX20" s="98"/>
      <c r="EY20" s="98"/>
      <c r="EZ20" s="98"/>
      <c r="FA20" s="98"/>
      <c r="FB20" s="98"/>
      <c r="FC20" s="98"/>
      <c r="FD20" s="98"/>
      <c r="FE20" s="98"/>
      <c r="FF20" s="98"/>
      <c r="FG20" s="98"/>
      <c r="FH20" s="98"/>
      <c r="FI20" s="98"/>
      <c r="FJ20" s="98"/>
      <c r="FK20" s="98"/>
      <c r="FL20" s="98"/>
      <c r="FM20" s="98"/>
      <c r="FN20" s="98"/>
      <c r="FO20" s="98"/>
      <c r="FP20" s="9"/>
      <c r="FQ20" s="9"/>
      <c r="FR20" s="9"/>
      <c r="FS20" s="9"/>
      <c r="FT20" s="9"/>
      <c r="FU20" s="9"/>
      <c r="FV20" s="9"/>
      <c r="FW20" s="9"/>
      <c r="FX20" s="9"/>
      <c r="FY20" s="9"/>
      <c r="FZ20" s="9"/>
      <c r="GA20" s="9"/>
      <c r="GB20" s="9"/>
      <c r="GC20" s="9"/>
      <c r="GD20" s="9"/>
      <c r="GE20" s="9"/>
      <c r="GF20" s="9"/>
      <c r="GG20" s="9"/>
      <c r="GH20" s="9"/>
      <c r="GI20" s="9"/>
      <c r="GJ20" s="9"/>
    </row>
    <row r="21" spans="1:192" s="93" customFormat="1" ht="31.5" hidden="1">
      <c r="A21" s="104">
        <v>13</v>
      </c>
      <c r="B21" s="105" t="s">
        <v>229</v>
      </c>
      <c r="C21" s="101" t="s">
        <v>230</v>
      </c>
      <c r="D21" s="106"/>
      <c r="E21" s="106"/>
      <c r="F21" s="106"/>
      <c r="G21" s="107" t="s">
        <v>231</v>
      </c>
      <c r="H21" s="98"/>
      <c r="I21" s="98"/>
      <c r="J21" s="98"/>
      <c r="K21" s="98"/>
      <c r="L21" s="98"/>
      <c r="M21" s="98"/>
      <c r="N21" s="98"/>
      <c r="O21" s="98"/>
      <c r="P21" s="98"/>
      <c r="Q21" s="98"/>
      <c r="R21" s="98"/>
      <c r="S21" s="98"/>
      <c r="T21" s="98"/>
      <c r="U21" s="98"/>
      <c r="V21" s="98"/>
      <c r="W21" s="98"/>
      <c r="X21" s="98"/>
      <c r="Y21" s="98"/>
      <c r="Z21" s="98"/>
      <c r="AA21" s="98"/>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c r="BC21" s="98"/>
      <c r="BD21" s="98"/>
      <c r="BE21" s="98"/>
      <c r="BF21" s="98"/>
      <c r="BG21" s="98"/>
      <c r="BH21" s="98"/>
      <c r="BI21" s="98"/>
      <c r="BJ21" s="98"/>
      <c r="BK21" s="98"/>
      <c r="BL21" s="98"/>
      <c r="BM21" s="98"/>
      <c r="BN21" s="98"/>
      <c r="BO21" s="98"/>
      <c r="BP21" s="98"/>
      <c r="BQ21" s="98"/>
      <c r="BR21" s="98"/>
      <c r="BS21" s="98"/>
      <c r="BT21" s="98"/>
      <c r="BU21" s="98"/>
      <c r="BV21" s="98"/>
      <c r="BW21" s="98"/>
      <c r="BX21" s="98"/>
      <c r="BY21" s="98"/>
      <c r="BZ21" s="98"/>
      <c r="CA21" s="98"/>
      <c r="CB21" s="98"/>
      <c r="CC21" s="98"/>
      <c r="CD21" s="98"/>
      <c r="CE21" s="98"/>
      <c r="CF21" s="98"/>
      <c r="CG21" s="98"/>
      <c r="CH21" s="98"/>
      <c r="CI21" s="98"/>
      <c r="CJ21" s="98"/>
      <c r="CK21" s="98"/>
      <c r="CL21" s="98"/>
      <c r="CM21" s="98"/>
      <c r="CN21" s="98"/>
      <c r="CO21" s="98"/>
      <c r="CP21" s="98"/>
      <c r="CQ21" s="98"/>
      <c r="CR21" s="98"/>
      <c r="CS21" s="98"/>
      <c r="CT21" s="98"/>
      <c r="CU21" s="98"/>
      <c r="CV21" s="98"/>
      <c r="CW21" s="98"/>
      <c r="CX21" s="98"/>
      <c r="CY21" s="98"/>
      <c r="CZ21" s="98"/>
      <c r="DA21" s="98"/>
      <c r="DB21" s="98"/>
      <c r="DC21" s="98"/>
      <c r="DD21" s="98"/>
      <c r="DE21" s="98"/>
      <c r="DF21" s="98"/>
      <c r="DG21" s="98"/>
      <c r="DH21" s="98"/>
      <c r="DI21" s="98"/>
      <c r="DJ21" s="98"/>
      <c r="DK21" s="98"/>
      <c r="DL21" s="98"/>
      <c r="DM21" s="98"/>
      <c r="DN21" s="98"/>
      <c r="DO21" s="98"/>
      <c r="DP21" s="98"/>
      <c r="DQ21" s="98"/>
      <c r="DR21" s="98"/>
      <c r="DS21" s="98"/>
      <c r="DT21" s="98"/>
      <c r="DU21" s="98"/>
      <c r="DV21" s="98"/>
      <c r="DW21" s="98"/>
      <c r="DX21" s="98"/>
      <c r="DY21" s="98"/>
      <c r="DZ21" s="98"/>
      <c r="EA21" s="98"/>
      <c r="EB21" s="98"/>
      <c r="EC21" s="98"/>
      <c r="ED21" s="98"/>
      <c r="EE21" s="98"/>
      <c r="EF21" s="98"/>
      <c r="EG21" s="98"/>
      <c r="EH21" s="98"/>
      <c r="EI21" s="98"/>
      <c r="EJ21" s="98"/>
      <c r="EK21" s="98"/>
      <c r="EL21" s="98"/>
      <c r="EM21" s="98"/>
      <c r="EN21" s="98"/>
      <c r="EO21" s="98"/>
      <c r="EP21" s="98"/>
      <c r="EQ21" s="98"/>
      <c r="ER21" s="98"/>
      <c r="ES21" s="98"/>
      <c r="ET21" s="98"/>
      <c r="EU21" s="98"/>
      <c r="EV21" s="98"/>
      <c r="EW21" s="98"/>
      <c r="EX21" s="98"/>
      <c r="EY21" s="98"/>
      <c r="EZ21" s="98"/>
      <c r="FA21" s="98"/>
      <c r="FB21" s="98"/>
      <c r="FC21" s="98"/>
      <c r="FD21" s="98"/>
      <c r="FE21" s="98"/>
      <c r="FF21" s="98"/>
      <c r="FG21" s="98"/>
      <c r="FH21" s="98"/>
      <c r="FI21" s="98"/>
      <c r="FJ21" s="98"/>
      <c r="FK21" s="98"/>
      <c r="FL21" s="98"/>
      <c r="FM21" s="98"/>
      <c r="FN21" s="98"/>
      <c r="FO21" s="98"/>
      <c r="FP21" s="9"/>
      <c r="FQ21" s="9"/>
      <c r="FR21" s="9"/>
      <c r="FS21" s="9"/>
      <c r="FT21" s="9"/>
      <c r="FU21" s="9"/>
      <c r="FV21" s="9"/>
      <c r="FW21" s="9"/>
      <c r="FX21" s="9"/>
      <c r="FY21" s="9"/>
      <c r="FZ21" s="9"/>
      <c r="GA21" s="9"/>
      <c r="GB21" s="9"/>
      <c r="GC21" s="9"/>
      <c r="GD21" s="9"/>
      <c r="GE21" s="9"/>
      <c r="GF21" s="9"/>
      <c r="GG21" s="9"/>
      <c r="GH21" s="9"/>
      <c r="GI21" s="9"/>
      <c r="GJ21" s="9"/>
    </row>
    <row r="22" spans="1:192" s="93" customFormat="1" ht="16.5" hidden="1">
      <c r="A22" s="104" t="s">
        <v>148</v>
      </c>
      <c r="B22" s="100" t="s">
        <v>29</v>
      </c>
      <c r="C22" s="101"/>
      <c r="D22" s="106"/>
      <c r="E22" s="106"/>
      <c r="F22" s="106"/>
      <c r="G22" s="103"/>
      <c r="H22" s="98"/>
      <c r="I22" s="98"/>
      <c r="J22" s="98"/>
      <c r="K22" s="98"/>
      <c r="L22" s="98"/>
      <c r="M22" s="98"/>
      <c r="N22" s="98"/>
      <c r="O22" s="98"/>
      <c r="P22" s="98"/>
      <c r="Q22" s="98"/>
      <c r="R22" s="98"/>
      <c r="S22" s="98"/>
      <c r="T22" s="98"/>
      <c r="U22" s="98"/>
      <c r="V22" s="98"/>
      <c r="W22" s="98"/>
      <c r="X22" s="98"/>
      <c r="Y22" s="98"/>
      <c r="Z22" s="98"/>
      <c r="AA22" s="98"/>
      <c r="AB22" s="98"/>
      <c r="AC22" s="98"/>
      <c r="AD22" s="98"/>
      <c r="AE22" s="98"/>
      <c r="AF22" s="98"/>
      <c r="AG22" s="98"/>
      <c r="AH22" s="98"/>
      <c r="AI22" s="98"/>
      <c r="AJ22" s="98"/>
      <c r="AK22" s="98"/>
      <c r="AL22" s="98"/>
      <c r="AM22" s="98"/>
      <c r="AN22" s="98"/>
      <c r="AO22" s="98"/>
      <c r="AP22" s="98"/>
      <c r="AQ22" s="98"/>
      <c r="AR22" s="98"/>
      <c r="AS22" s="98"/>
      <c r="AT22" s="98"/>
      <c r="AU22" s="98"/>
      <c r="AV22" s="98"/>
      <c r="AW22" s="98"/>
      <c r="AX22" s="98"/>
      <c r="AY22" s="98"/>
      <c r="AZ22" s="98"/>
      <c r="BA22" s="98"/>
      <c r="BB22" s="98"/>
      <c r="BC22" s="98"/>
      <c r="BD22" s="98"/>
      <c r="BE22" s="98"/>
      <c r="BF22" s="98"/>
      <c r="BG22" s="98"/>
      <c r="BH22" s="98"/>
      <c r="BI22" s="98"/>
      <c r="BJ22" s="98"/>
      <c r="BK22" s="98"/>
      <c r="BL22" s="98"/>
      <c r="BM22" s="98"/>
      <c r="BN22" s="98"/>
      <c r="BO22" s="98"/>
      <c r="BP22" s="98"/>
      <c r="BQ22" s="98"/>
      <c r="BR22" s="98"/>
      <c r="BS22" s="98"/>
      <c r="BT22" s="98"/>
      <c r="BU22" s="98"/>
      <c r="BV22" s="98"/>
      <c r="BW22" s="98"/>
      <c r="BX22" s="98"/>
      <c r="BY22" s="98"/>
      <c r="BZ22" s="98"/>
      <c r="CA22" s="98"/>
      <c r="CB22" s="98"/>
      <c r="CC22" s="98"/>
      <c r="CD22" s="98"/>
      <c r="CE22" s="98"/>
      <c r="CF22" s="98"/>
      <c r="CG22" s="98"/>
      <c r="CH22" s="98"/>
      <c r="CI22" s="98"/>
      <c r="CJ22" s="98"/>
      <c r="CK22" s="98"/>
      <c r="CL22" s="98"/>
      <c r="CM22" s="98"/>
      <c r="CN22" s="98"/>
      <c r="CO22" s="98"/>
      <c r="CP22" s="98"/>
      <c r="CQ22" s="98"/>
      <c r="CR22" s="98"/>
      <c r="CS22" s="98"/>
      <c r="CT22" s="98"/>
      <c r="CU22" s="98"/>
      <c r="CV22" s="98"/>
      <c r="CW22" s="98"/>
      <c r="CX22" s="98"/>
      <c r="CY22" s="98"/>
      <c r="CZ22" s="98"/>
      <c r="DA22" s="98"/>
      <c r="DB22" s="98"/>
      <c r="DC22" s="98"/>
      <c r="DD22" s="98"/>
      <c r="DE22" s="98"/>
      <c r="DF22" s="98"/>
      <c r="DG22" s="98"/>
      <c r="DH22" s="98"/>
      <c r="DI22" s="98"/>
      <c r="DJ22" s="98"/>
      <c r="DK22" s="98"/>
      <c r="DL22" s="98"/>
      <c r="DM22" s="98"/>
      <c r="DN22" s="98"/>
      <c r="DO22" s="98"/>
      <c r="DP22" s="98"/>
      <c r="DQ22" s="98"/>
      <c r="DR22" s="98"/>
      <c r="DS22" s="98"/>
      <c r="DT22" s="98"/>
      <c r="DU22" s="98"/>
      <c r="DV22" s="98"/>
      <c r="DW22" s="98"/>
      <c r="DX22" s="98"/>
      <c r="DY22" s="98"/>
      <c r="DZ22" s="98"/>
      <c r="EA22" s="98"/>
      <c r="EB22" s="98"/>
      <c r="EC22" s="98"/>
      <c r="ED22" s="98"/>
      <c r="EE22" s="98"/>
      <c r="EF22" s="98"/>
      <c r="EG22" s="98"/>
      <c r="EH22" s="98"/>
      <c r="EI22" s="98"/>
      <c r="EJ22" s="98"/>
      <c r="EK22" s="98"/>
      <c r="EL22" s="98"/>
      <c r="EM22" s="98"/>
      <c r="EN22" s="98"/>
      <c r="EO22" s="98"/>
      <c r="EP22" s="98"/>
      <c r="EQ22" s="98"/>
      <c r="ER22" s="98"/>
      <c r="ES22" s="98"/>
      <c r="ET22" s="98"/>
      <c r="EU22" s="98"/>
      <c r="EV22" s="98"/>
      <c r="EW22" s="98"/>
      <c r="EX22" s="98"/>
      <c r="EY22" s="98"/>
      <c r="EZ22" s="98"/>
      <c r="FA22" s="98"/>
      <c r="FB22" s="98"/>
      <c r="FC22" s="98"/>
      <c r="FD22" s="98"/>
      <c r="FE22" s="98"/>
      <c r="FF22" s="98"/>
      <c r="FG22" s="98"/>
      <c r="FH22" s="98"/>
      <c r="FI22" s="98"/>
      <c r="FJ22" s="98"/>
      <c r="FK22" s="98"/>
      <c r="FL22" s="98"/>
      <c r="FM22" s="98"/>
      <c r="FN22" s="98"/>
      <c r="FO22" s="98"/>
      <c r="FP22" s="9"/>
      <c r="FQ22" s="9"/>
      <c r="FR22" s="9"/>
      <c r="FS22" s="9"/>
      <c r="FT22" s="9"/>
      <c r="FU22" s="9"/>
      <c r="FV22" s="9"/>
      <c r="FW22" s="9"/>
      <c r="FX22" s="9"/>
      <c r="FY22" s="9"/>
      <c r="FZ22" s="9"/>
      <c r="GA22" s="9"/>
      <c r="GB22" s="9"/>
      <c r="GC22" s="9"/>
      <c r="GD22" s="9"/>
      <c r="GE22" s="9"/>
      <c r="GF22" s="9"/>
      <c r="GG22" s="9"/>
      <c r="GH22" s="9"/>
      <c r="GI22" s="9"/>
      <c r="GJ22" s="9"/>
    </row>
    <row r="23" spans="1:192" s="93" customFormat="1" ht="31.5" hidden="1">
      <c r="A23" s="104">
        <f>COUNTA($D$4:D23)</f>
        <v>13</v>
      </c>
      <c r="B23" s="105" t="s">
        <v>232</v>
      </c>
      <c r="C23" s="101" t="s">
        <v>14</v>
      </c>
      <c r="D23" s="106">
        <v>114.97851</v>
      </c>
      <c r="E23" s="106">
        <f t="shared" ref="E23:E28" si="4">+D23*53.3%</f>
        <v>61.283545829999987</v>
      </c>
      <c r="F23" s="106">
        <f t="shared" ref="F23:F28" si="5">+D23*46.7%</f>
        <v>53.694964170000006</v>
      </c>
      <c r="G23" s="108"/>
      <c r="H23" s="98"/>
      <c r="I23" s="98"/>
      <c r="J23" s="98"/>
      <c r="K23" s="98"/>
      <c r="L23" s="98"/>
      <c r="M23" s="98"/>
      <c r="N23" s="98"/>
      <c r="O23" s="98"/>
      <c r="P23" s="98"/>
      <c r="Q23" s="98"/>
      <c r="R23" s="98"/>
      <c r="S23" s="98"/>
      <c r="T23" s="98"/>
      <c r="U23" s="98"/>
      <c r="V23" s="98"/>
      <c r="W23" s="98"/>
      <c r="X23" s="98"/>
      <c r="Y23" s="98"/>
      <c r="Z23" s="98"/>
      <c r="AA23" s="98"/>
      <c r="AB23" s="98"/>
      <c r="AC23" s="98"/>
      <c r="AD23" s="98"/>
      <c r="AE23" s="98"/>
      <c r="AF23" s="98"/>
      <c r="AG23" s="98"/>
      <c r="AH23" s="98"/>
      <c r="AI23" s="98"/>
      <c r="AJ23" s="98"/>
      <c r="AK23" s="98"/>
      <c r="AL23" s="98"/>
      <c r="AM23" s="98"/>
      <c r="AN23" s="98"/>
      <c r="AO23" s="98"/>
      <c r="AP23" s="98"/>
      <c r="AQ23" s="98"/>
      <c r="AR23" s="98"/>
      <c r="AS23" s="98"/>
      <c r="AT23" s="98"/>
      <c r="AU23" s="98"/>
      <c r="AV23" s="98"/>
      <c r="AW23" s="98"/>
      <c r="AX23" s="98"/>
      <c r="AY23" s="98"/>
      <c r="AZ23" s="98"/>
      <c r="BA23" s="98"/>
      <c r="BB23" s="98"/>
      <c r="BC23" s="98"/>
      <c r="BD23" s="98"/>
      <c r="BE23" s="98"/>
      <c r="BF23" s="98"/>
      <c r="BG23" s="98"/>
      <c r="BH23" s="98"/>
      <c r="BI23" s="98"/>
      <c r="BJ23" s="98"/>
      <c r="BK23" s="98"/>
      <c r="BL23" s="98"/>
      <c r="BM23" s="98"/>
      <c r="BN23" s="98"/>
      <c r="BO23" s="98"/>
      <c r="BP23" s="98"/>
      <c r="BQ23" s="98"/>
      <c r="BR23" s="98"/>
      <c r="BS23" s="98"/>
      <c r="BT23" s="98"/>
      <c r="BU23" s="98"/>
      <c r="BV23" s="98"/>
      <c r="BW23" s="98"/>
      <c r="BX23" s="98"/>
      <c r="BY23" s="98"/>
      <c r="BZ23" s="98"/>
      <c r="CA23" s="98"/>
      <c r="CB23" s="98"/>
      <c r="CC23" s="98"/>
      <c r="CD23" s="98"/>
      <c r="CE23" s="98"/>
      <c r="CF23" s="98"/>
      <c r="CG23" s="98"/>
      <c r="CH23" s="98"/>
      <c r="CI23" s="98"/>
      <c r="CJ23" s="98"/>
      <c r="CK23" s="98"/>
      <c r="CL23" s="98"/>
      <c r="CM23" s="98"/>
      <c r="CN23" s="98"/>
      <c r="CO23" s="98"/>
      <c r="CP23" s="98"/>
      <c r="CQ23" s="98"/>
      <c r="CR23" s="98"/>
      <c r="CS23" s="98"/>
      <c r="CT23" s="98"/>
      <c r="CU23" s="98"/>
      <c r="CV23" s="98"/>
      <c r="CW23" s="98"/>
      <c r="CX23" s="98"/>
      <c r="CY23" s="98"/>
      <c r="CZ23" s="98"/>
      <c r="DA23" s="98"/>
      <c r="DB23" s="98"/>
      <c r="DC23" s="98"/>
      <c r="DD23" s="98"/>
      <c r="DE23" s="98"/>
      <c r="DF23" s="98"/>
      <c r="DG23" s="98"/>
      <c r="DH23" s="98"/>
      <c r="DI23" s="98"/>
      <c r="DJ23" s="98"/>
      <c r="DK23" s="98"/>
      <c r="DL23" s="98"/>
      <c r="DM23" s="98"/>
      <c r="DN23" s="98"/>
      <c r="DO23" s="98"/>
      <c r="DP23" s="98"/>
      <c r="DQ23" s="98"/>
      <c r="DR23" s="98"/>
      <c r="DS23" s="98"/>
      <c r="DT23" s="98"/>
      <c r="DU23" s="98"/>
      <c r="DV23" s="98"/>
      <c r="DW23" s="98"/>
      <c r="DX23" s="98"/>
      <c r="DY23" s="98"/>
      <c r="DZ23" s="98"/>
      <c r="EA23" s="98"/>
      <c r="EB23" s="98"/>
      <c r="EC23" s="98"/>
      <c r="ED23" s="98"/>
      <c r="EE23" s="98"/>
      <c r="EF23" s="98"/>
      <c r="EG23" s="98"/>
      <c r="EH23" s="98"/>
      <c r="EI23" s="98"/>
      <c r="EJ23" s="98"/>
      <c r="EK23" s="98"/>
      <c r="EL23" s="98"/>
      <c r="EM23" s="98"/>
      <c r="EN23" s="98"/>
      <c r="EO23" s="98"/>
      <c r="EP23" s="98"/>
      <c r="EQ23" s="98"/>
      <c r="ER23" s="98"/>
      <c r="ES23" s="98"/>
      <c r="ET23" s="98"/>
      <c r="EU23" s="98"/>
      <c r="EV23" s="98"/>
      <c r="EW23" s="98"/>
      <c r="EX23" s="98"/>
      <c r="EY23" s="98"/>
      <c r="EZ23" s="98"/>
      <c r="FA23" s="98"/>
      <c r="FB23" s="98"/>
      <c r="FC23" s="98"/>
      <c r="FD23" s="98"/>
      <c r="FE23" s="98"/>
      <c r="FF23" s="98"/>
      <c r="FG23" s="98"/>
      <c r="FH23" s="98"/>
      <c r="FI23" s="98"/>
      <c r="FJ23" s="98"/>
      <c r="FK23" s="98"/>
      <c r="FL23" s="98"/>
      <c r="FM23" s="98"/>
      <c r="FN23" s="98"/>
      <c r="FO23" s="98"/>
      <c r="FP23" s="9"/>
      <c r="FQ23" s="9"/>
      <c r="FR23" s="9"/>
      <c r="FS23" s="9"/>
      <c r="FT23" s="9"/>
      <c r="FU23" s="9"/>
      <c r="FV23" s="9"/>
      <c r="FW23" s="9"/>
      <c r="FX23" s="9"/>
      <c r="FY23" s="9"/>
      <c r="FZ23" s="9"/>
      <c r="GA23" s="9"/>
      <c r="GB23" s="9"/>
      <c r="GC23" s="9"/>
      <c r="GD23" s="9"/>
      <c r="GE23" s="9"/>
      <c r="GF23" s="9"/>
      <c r="GG23" s="9"/>
      <c r="GH23" s="9"/>
      <c r="GI23" s="9"/>
      <c r="GJ23" s="9"/>
    </row>
    <row r="24" spans="1:192" s="93" customFormat="1" ht="31.5" hidden="1">
      <c r="A24" s="104">
        <f>COUNTA($D$4:D24)</f>
        <v>14</v>
      </c>
      <c r="B24" s="105" t="s">
        <v>233</v>
      </c>
      <c r="C24" s="101" t="s">
        <v>12</v>
      </c>
      <c r="D24" s="106">
        <v>1985.8658</v>
      </c>
      <c r="E24" s="106">
        <f t="shared" si="4"/>
        <v>1058.4664713999998</v>
      </c>
      <c r="F24" s="106">
        <f t="shared" si="5"/>
        <v>927.3993286000001</v>
      </c>
      <c r="G24" s="108"/>
      <c r="H24" s="98"/>
      <c r="I24" s="98"/>
      <c r="J24" s="98"/>
      <c r="K24" s="98"/>
      <c r="L24" s="98"/>
      <c r="M24" s="98"/>
      <c r="N24" s="98"/>
      <c r="O24" s="98"/>
      <c r="P24" s="98"/>
      <c r="Q24" s="98"/>
      <c r="R24" s="98"/>
      <c r="S24" s="98"/>
      <c r="T24" s="98"/>
      <c r="U24" s="98"/>
      <c r="V24" s="98"/>
      <c r="W24" s="98"/>
      <c r="X24" s="98"/>
      <c r="Y24" s="98"/>
      <c r="Z24" s="98"/>
      <c r="AA24" s="98"/>
      <c r="AB24" s="98"/>
      <c r="AC24" s="98"/>
      <c r="AD24" s="98"/>
      <c r="AE24" s="98"/>
      <c r="AF24" s="98"/>
      <c r="AG24" s="98"/>
      <c r="AH24" s="98"/>
      <c r="AI24" s="98"/>
      <c r="AJ24" s="98"/>
      <c r="AK24" s="98"/>
      <c r="AL24" s="98"/>
      <c r="AM24" s="98"/>
      <c r="AN24" s="98"/>
      <c r="AO24" s="98"/>
      <c r="AP24" s="98"/>
      <c r="AQ24" s="98"/>
      <c r="AR24" s="98"/>
      <c r="AS24" s="98"/>
      <c r="AT24" s="98"/>
      <c r="AU24" s="98"/>
      <c r="AV24" s="98"/>
      <c r="AW24" s="98"/>
      <c r="AX24" s="98"/>
      <c r="AY24" s="98"/>
      <c r="AZ24" s="98"/>
      <c r="BA24" s="98"/>
      <c r="BB24" s="98"/>
      <c r="BC24" s="98"/>
      <c r="BD24" s="98"/>
      <c r="BE24" s="98"/>
      <c r="BF24" s="98"/>
      <c r="BG24" s="98"/>
      <c r="BH24" s="98"/>
      <c r="BI24" s="98"/>
      <c r="BJ24" s="98"/>
      <c r="BK24" s="98"/>
      <c r="BL24" s="98"/>
      <c r="BM24" s="98"/>
      <c r="BN24" s="98"/>
      <c r="BO24" s="98"/>
      <c r="BP24" s="98"/>
      <c r="BQ24" s="98"/>
      <c r="BR24" s="98"/>
      <c r="BS24" s="98"/>
      <c r="BT24" s="98"/>
      <c r="BU24" s="98"/>
      <c r="BV24" s="98"/>
      <c r="BW24" s="98"/>
      <c r="BX24" s="98"/>
      <c r="BY24" s="98"/>
      <c r="BZ24" s="98"/>
      <c r="CA24" s="98"/>
      <c r="CB24" s="98"/>
      <c r="CC24" s="98"/>
      <c r="CD24" s="98"/>
      <c r="CE24" s="98"/>
      <c r="CF24" s="98"/>
      <c r="CG24" s="98"/>
      <c r="CH24" s="98"/>
      <c r="CI24" s="98"/>
      <c r="CJ24" s="98"/>
      <c r="CK24" s="98"/>
      <c r="CL24" s="98"/>
      <c r="CM24" s="98"/>
      <c r="CN24" s="98"/>
      <c r="CO24" s="98"/>
      <c r="CP24" s="98"/>
      <c r="CQ24" s="98"/>
      <c r="CR24" s="98"/>
      <c r="CS24" s="98"/>
      <c r="CT24" s="98"/>
      <c r="CU24" s="98"/>
      <c r="CV24" s="98"/>
      <c r="CW24" s="98"/>
      <c r="CX24" s="98"/>
      <c r="CY24" s="98"/>
      <c r="CZ24" s="98"/>
      <c r="DA24" s="98"/>
      <c r="DB24" s="98"/>
      <c r="DC24" s="98"/>
      <c r="DD24" s="98"/>
      <c r="DE24" s="98"/>
      <c r="DF24" s="98"/>
      <c r="DG24" s="98"/>
      <c r="DH24" s="98"/>
      <c r="DI24" s="98"/>
      <c r="DJ24" s="98"/>
      <c r="DK24" s="98"/>
      <c r="DL24" s="98"/>
      <c r="DM24" s="98"/>
      <c r="DN24" s="98"/>
      <c r="DO24" s="98"/>
      <c r="DP24" s="98"/>
      <c r="DQ24" s="98"/>
      <c r="DR24" s="98"/>
      <c r="DS24" s="98"/>
      <c r="DT24" s="98"/>
      <c r="DU24" s="98"/>
      <c r="DV24" s="98"/>
      <c r="DW24" s="98"/>
      <c r="DX24" s="98"/>
      <c r="DY24" s="98"/>
      <c r="DZ24" s="98"/>
      <c r="EA24" s="98"/>
      <c r="EB24" s="98"/>
      <c r="EC24" s="98"/>
      <c r="ED24" s="98"/>
      <c r="EE24" s="98"/>
      <c r="EF24" s="98"/>
      <c r="EG24" s="98"/>
      <c r="EH24" s="98"/>
      <c r="EI24" s="98"/>
      <c r="EJ24" s="98"/>
      <c r="EK24" s="98"/>
      <c r="EL24" s="98"/>
      <c r="EM24" s="98"/>
      <c r="EN24" s="98"/>
      <c r="EO24" s="98"/>
      <c r="EP24" s="98"/>
      <c r="EQ24" s="98"/>
      <c r="ER24" s="98"/>
      <c r="ES24" s="98"/>
      <c r="ET24" s="98"/>
      <c r="EU24" s="98"/>
      <c r="EV24" s="98"/>
      <c r="EW24" s="98"/>
      <c r="EX24" s="98"/>
      <c r="EY24" s="98"/>
      <c r="EZ24" s="98"/>
      <c r="FA24" s="98"/>
      <c r="FB24" s="98"/>
      <c r="FC24" s="98"/>
      <c r="FD24" s="98"/>
      <c r="FE24" s="98"/>
      <c r="FF24" s="98"/>
      <c r="FG24" s="98"/>
      <c r="FH24" s="98"/>
      <c r="FI24" s="98"/>
      <c r="FJ24" s="98"/>
      <c r="FK24" s="98"/>
      <c r="FL24" s="98"/>
      <c r="FM24" s="98"/>
      <c r="FN24" s="98"/>
      <c r="FO24" s="98"/>
      <c r="FP24" s="9"/>
      <c r="FQ24" s="9"/>
      <c r="FR24" s="9"/>
      <c r="FS24" s="9"/>
      <c r="FT24" s="9"/>
      <c r="FU24" s="9"/>
      <c r="FV24" s="9"/>
      <c r="FW24" s="9"/>
      <c r="FX24" s="9"/>
      <c r="FY24" s="9"/>
      <c r="FZ24" s="9"/>
      <c r="GA24" s="9"/>
      <c r="GB24" s="9"/>
      <c r="GC24" s="9"/>
      <c r="GD24" s="9"/>
      <c r="GE24" s="9"/>
      <c r="GF24" s="9"/>
      <c r="GG24" s="9"/>
      <c r="GH24" s="9"/>
      <c r="GI24" s="9"/>
      <c r="GJ24" s="9"/>
    </row>
    <row r="25" spans="1:192" s="93" customFormat="1" ht="31.5" hidden="1">
      <c r="A25" s="104">
        <f>COUNTA($D$4:D25)</f>
        <v>15</v>
      </c>
      <c r="B25" s="105" t="s">
        <v>234</v>
      </c>
      <c r="C25" s="101" t="s">
        <v>33</v>
      </c>
      <c r="D25" s="106">
        <v>14966.805000000002</v>
      </c>
      <c r="E25" s="106">
        <f t="shared" si="4"/>
        <v>7977.307065</v>
      </c>
      <c r="F25" s="106">
        <f t="shared" si="5"/>
        <v>6989.4979350000012</v>
      </c>
      <c r="G25" s="108"/>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8"/>
      <c r="BM25" s="98"/>
      <c r="BN25" s="98"/>
      <c r="BO25" s="98"/>
      <c r="BP25" s="98"/>
      <c r="BQ25" s="98"/>
      <c r="BR25" s="98"/>
      <c r="BS25" s="98"/>
      <c r="BT25" s="98"/>
      <c r="BU25" s="98"/>
      <c r="BV25" s="98"/>
      <c r="BW25" s="98"/>
      <c r="BX25" s="98"/>
      <c r="BY25" s="98"/>
      <c r="BZ25" s="98"/>
      <c r="CA25" s="98"/>
      <c r="CB25" s="98"/>
      <c r="CC25" s="98"/>
      <c r="CD25" s="98"/>
      <c r="CE25" s="98"/>
      <c r="CF25" s="98"/>
      <c r="CG25" s="98"/>
      <c r="CH25" s="98"/>
      <c r="CI25" s="98"/>
      <c r="CJ25" s="98"/>
      <c r="CK25" s="98"/>
      <c r="CL25" s="98"/>
      <c r="CM25" s="98"/>
      <c r="CN25" s="98"/>
      <c r="CO25" s="98"/>
      <c r="CP25" s="98"/>
      <c r="CQ25" s="98"/>
      <c r="CR25" s="98"/>
      <c r="CS25" s="98"/>
      <c r="CT25" s="98"/>
      <c r="CU25" s="98"/>
      <c r="CV25" s="98"/>
      <c r="CW25" s="98"/>
      <c r="CX25" s="98"/>
      <c r="CY25" s="98"/>
      <c r="CZ25" s="98"/>
      <c r="DA25" s="98"/>
      <c r="DB25" s="98"/>
      <c r="DC25" s="98"/>
      <c r="DD25" s="98"/>
      <c r="DE25" s="98"/>
      <c r="DF25" s="98"/>
      <c r="DG25" s="98"/>
      <c r="DH25" s="98"/>
      <c r="DI25" s="98"/>
      <c r="DJ25" s="98"/>
      <c r="DK25" s="98"/>
      <c r="DL25" s="98"/>
      <c r="DM25" s="98"/>
      <c r="DN25" s="98"/>
      <c r="DO25" s="98"/>
      <c r="DP25" s="98"/>
      <c r="DQ25" s="98"/>
      <c r="DR25" s="98"/>
      <c r="DS25" s="98"/>
      <c r="DT25" s="98"/>
      <c r="DU25" s="98"/>
      <c r="DV25" s="98"/>
      <c r="DW25" s="98"/>
      <c r="DX25" s="98"/>
      <c r="DY25" s="98"/>
      <c r="DZ25" s="98"/>
      <c r="EA25" s="98"/>
      <c r="EB25" s="98"/>
      <c r="EC25" s="98"/>
      <c r="ED25" s="98"/>
      <c r="EE25" s="98"/>
      <c r="EF25" s="98"/>
      <c r="EG25" s="98"/>
      <c r="EH25" s="98"/>
      <c r="EI25" s="98"/>
      <c r="EJ25" s="98"/>
      <c r="EK25" s="98"/>
      <c r="EL25" s="98"/>
      <c r="EM25" s="98"/>
      <c r="EN25" s="98"/>
      <c r="EO25" s="98"/>
      <c r="EP25" s="98"/>
      <c r="EQ25" s="98"/>
      <c r="ER25" s="98"/>
      <c r="ES25" s="98"/>
      <c r="ET25" s="98"/>
      <c r="EU25" s="98"/>
      <c r="EV25" s="98"/>
      <c r="EW25" s="98"/>
      <c r="EX25" s="98"/>
      <c r="EY25" s="98"/>
      <c r="EZ25" s="98"/>
      <c r="FA25" s="98"/>
      <c r="FB25" s="98"/>
      <c r="FC25" s="98"/>
      <c r="FD25" s="98"/>
      <c r="FE25" s="98"/>
      <c r="FF25" s="98"/>
      <c r="FG25" s="98"/>
      <c r="FH25" s="98"/>
      <c r="FI25" s="98"/>
      <c r="FJ25" s="98"/>
      <c r="FK25" s="98"/>
      <c r="FL25" s="98"/>
      <c r="FM25" s="98"/>
      <c r="FN25" s="98"/>
      <c r="FO25" s="98"/>
      <c r="FP25" s="9"/>
      <c r="FQ25" s="9"/>
      <c r="FR25" s="9"/>
      <c r="FS25" s="9"/>
      <c r="FT25" s="9"/>
      <c r="FU25" s="9"/>
      <c r="FV25" s="9"/>
      <c r="FW25" s="9"/>
      <c r="FX25" s="9"/>
      <c r="FY25" s="9"/>
      <c r="FZ25" s="9"/>
      <c r="GA25" s="9"/>
      <c r="GB25" s="9"/>
      <c r="GC25" s="9"/>
      <c r="GD25" s="9"/>
      <c r="GE25" s="9"/>
      <c r="GF25" s="9"/>
      <c r="GG25" s="9"/>
      <c r="GH25" s="9"/>
      <c r="GI25" s="9"/>
      <c r="GJ25" s="9"/>
    </row>
    <row r="26" spans="1:192" s="93" customFormat="1" ht="31.5" hidden="1">
      <c r="A26" s="104">
        <f>COUNTA($D$4:D26)</f>
        <v>16</v>
      </c>
      <c r="B26" s="105" t="s">
        <v>103</v>
      </c>
      <c r="C26" s="101" t="s">
        <v>110</v>
      </c>
      <c r="D26" s="106">
        <v>1700</v>
      </c>
      <c r="E26" s="106">
        <f t="shared" si="4"/>
        <v>906.09999999999991</v>
      </c>
      <c r="F26" s="106">
        <f t="shared" si="5"/>
        <v>793.90000000000009</v>
      </c>
      <c r="G26" s="108"/>
      <c r="H26" s="98"/>
      <c r="I26" s="98"/>
      <c r="J26" s="98"/>
      <c r="K26" s="98"/>
      <c r="L26" s="98"/>
      <c r="M26" s="98"/>
      <c r="N26" s="98"/>
      <c r="O26" s="98"/>
      <c r="P26" s="98"/>
      <c r="Q26" s="98"/>
      <c r="R26" s="98"/>
      <c r="S26" s="98"/>
      <c r="T26" s="98"/>
      <c r="U26" s="98"/>
      <c r="V26" s="98"/>
      <c r="W26" s="98"/>
      <c r="X26" s="98"/>
      <c r="Y26" s="98"/>
      <c r="Z26" s="98"/>
      <c r="AA26" s="98"/>
      <c r="AB26" s="98"/>
      <c r="AC26" s="98"/>
      <c r="AD26" s="98"/>
      <c r="AE26" s="98"/>
      <c r="AF26" s="98"/>
      <c r="AG26" s="98"/>
      <c r="AH26" s="98"/>
      <c r="AI26" s="98"/>
      <c r="AJ26" s="98"/>
      <c r="AK26" s="98"/>
      <c r="AL26" s="98"/>
      <c r="AM26" s="98"/>
      <c r="AN26" s="98"/>
      <c r="AO26" s="98"/>
      <c r="AP26" s="98"/>
      <c r="AQ26" s="98"/>
      <c r="AR26" s="98"/>
      <c r="AS26" s="98"/>
      <c r="AT26" s="98"/>
      <c r="AU26" s="98"/>
      <c r="AV26" s="98"/>
      <c r="AW26" s="98"/>
      <c r="AX26" s="98"/>
      <c r="AY26" s="98"/>
      <c r="AZ26" s="98"/>
      <c r="BA26" s="98"/>
      <c r="BB26" s="98"/>
      <c r="BC26" s="98"/>
      <c r="BD26" s="98"/>
      <c r="BE26" s="98"/>
      <c r="BF26" s="98"/>
      <c r="BG26" s="98"/>
      <c r="BH26" s="98"/>
      <c r="BI26" s="98"/>
      <c r="BJ26" s="98"/>
      <c r="BK26" s="98"/>
      <c r="BL26" s="98"/>
      <c r="BM26" s="98"/>
      <c r="BN26" s="98"/>
      <c r="BO26" s="98"/>
      <c r="BP26" s="98"/>
      <c r="BQ26" s="98"/>
      <c r="BR26" s="98"/>
      <c r="BS26" s="98"/>
      <c r="BT26" s="98"/>
      <c r="BU26" s="98"/>
      <c r="BV26" s="98"/>
      <c r="BW26" s="98"/>
      <c r="BX26" s="98"/>
      <c r="BY26" s="98"/>
      <c r="BZ26" s="98"/>
      <c r="CA26" s="98"/>
      <c r="CB26" s="98"/>
      <c r="CC26" s="98"/>
      <c r="CD26" s="98"/>
      <c r="CE26" s="98"/>
      <c r="CF26" s="98"/>
      <c r="CG26" s="98"/>
      <c r="CH26" s="98"/>
      <c r="CI26" s="98"/>
      <c r="CJ26" s="98"/>
      <c r="CK26" s="98"/>
      <c r="CL26" s="98"/>
      <c r="CM26" s="98"/>
      <c r="CN26" s="98"/>
      <c r="CO26" s="98"/>
      <c r="CP26" s="98"/>
      <c r="CQ26" s="98"/>
      <c r="CR26" s="98"/>
      <c r="CS26" s="98"/>
      <c r="CT26" s="98"/>
      <c r="CU26" s="98"/>
      <c r="CV26" s="98"/>
      <c r="CW26" s="98"/>
      <c r="CX26" s="98"/>
      <c r="CY26" s="98"/>
      <c r="CZ26" s="98"/>
      <c r="DA26" s="98"/>
      <c r="DB26" s="98"/>
      <c r="DC26" s="98"/>
      <c r="DD26" s="98"/>
      <c r="DE26" s="98"/>
      <c r="DF26" s="98"/>
      <c r="DG26" s="98"/>
      <c r="DH26" s="98"/>
      <c r="DI26" s="98"/>
      <c r="DJ26" s="98"/>
      <c r="DK26" s="98"/>
      <c r="DL26" s="98"/>
      <c r="DM26" s="98"/>
      <c r="DN26" s="98"/>
      <c r="DO26" s="98"/>
      <c r="DP26" s="98"/>
      <c r="DQ26" s="98"/>
      <c r="DR26" s="98"/>
      <c r="DS26" s="98"/>
      <c r="DT26" s="98"/>
      <c r="DU26" s="98"/>
      <c r="DV26" s="98"/>
      <c r="DW26" s="98"/>
      <c r="DX26" s="98"/>
      <c r="DY26" s="98"/>
      <c r="DZ26" s="98"/>
      <c r="EA26" s="98"/>
      <c r="EB26" s="98"/>
      <c r="EC26" s="98"/>
      <c r="ED26" s="98"/>
      <c r="EE26" s="98"/>
      <c r="EF26" s="98"/>
      <c r="EG26" s="98"/>
      <c r="EH26" s="98"/>
      <c r="EI26" s="98"/>
      <c r="EJ26" s="98"/>
      <c r="EK26" s="98"/>
      <c r="EL26" s="98"/>
      <c r="EM26" s="98"/>
      <c r="EN26" s="98"/>
      <c r="EO26" s="98"/>
      <c r="EP26" s="98"/>
      <c r="EQ26" s="98"/>
      <c r="ER26" s="98"/>
      <c r="ES26" s="98"/>
      <c r="ET26" s="98"/>
      <c r="EU26" s="98"/>
      <c r="EV26" s="98"/>
      <c r="EW26" s="98"/>
      <c r="EX26" s="98"/>
      <c r="EY26" s="98"/>
      <c r="EZ26" s="98"/>
      <c r="FA26" s="98"/>
      <c r="FB26" s="98"/>
      <c r="FC26" s="98"/>
      <c r="FD26" s="98"/>
      <c r="FE26" s="98"/>
      <c r="FF26" s="98"/>
      <c r="FG26" s="98"/>
      <c r="FH26" s="98"/>
      <c r="FI26" s="98"/>
      <c r="FJ26" s="98"/>
      <c r="FK26" s="98"/>
      <c r="FL26" s="98"/>
      <c r="FM26" s="98"/>
      <c r="FN26" s="98"/>
      <c r="FO26" s="98"/>
      <c r="FP26" s="9"/>
      <c r="FQ26" s="9"/>
      <c r="FR26" s="9"/>
      <c r="FS26" s="9"/>
      <c r="FT26" s="9"/>
      <c r="FU26" s="9"/>
      <c r="FV26" s="9"/>
      <c r="FW26" s="9"/>
      <c r="FX26" s="9"/>
      <c r="FY26" s="9"/>
      <c r="FZ26" s="9"/>
      <c r="GA26" s="9"/>
      <c r="GB26" s="9"/>
      <c r="GC26" s="9"/>
      <c r="GD26" s="9"/>
      <c r="GE26" s="9"/>
      <c r="GF26" s="9"/>
      <c r="GG26" s="9"/>
      <c r="GH26" s="9"/>
      <c r="GI26" s="9"/>
      <c r="GJ26" s="9"/>
    </row>
    <row r="27" spans="1:192" s="93" customFormat="1" ht="31.5" hidden="1">
      <c r="A27" s="104">
        <f>COUNTA($D$4:D27)</f>
        <v>17</v>
      </c>
      <c r="B27" s="105" t="s">
        <v>111</v>
      </c>
      <c r="C27" s="101" t="s">
        <v>110</v>
      </c>
      <c r="D27" s="106">
        <v>2032</v>
      </c>
      <c r="E27" s="106">
        <f t="shared" si="4"/>
        <v>1083.0559999999998</v>
      </c>
      <c r="F27" s="106">
        <f t="shared" si="5"/>
        <v>948.94400000000007</v>
      </c>
      <c r="G27" s="108"/>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8"/>
      <c r="BM27" s="98"/>
      <c r="BN27" s="98"/>
      <c r="BO27" s="98"/>
      <c r="BP27" s="98"/>
      <c r="BQ27" s="98"/>
      <c r="BR27" s="98"/>
      <c r="BS27" s="98"/>
      <c r="BT27" s="98"/>
      <c r="BU27" s="98"/>
      <c r="BV27" s="98"/>
      <c r="BW27" s="98"/>
      <c r="BX27" s="98"/>
      <c r="BY27" s="98"/>
      <c r="BZ27" s="98"/>
      <c r="CA27" s="98"/>
      <c r="CB27" s="98"/>
      <c r="CC27" s="98"/>
      <c r="CD27" s="98"/>
      <c r="CE27" s="98"/>
      <c r="CF27" s="98"/>
      <c r="CG27" s="98"/>
      <c r="CH27" s="98"/>
      <c r="CI27" s="98"/>
      <c r="CJ27" s="98"/>
      <c r="CK27" s="98"/>
      <c r="CL27" s="98"/>
      <c r="CM27" s="98"/>
      <c r="CN27" s="98"/>
      <c r="CO27" s="98"/>
      <c r="CP27" s="98"/>
      <c r="CQ27" s="98"/>
      <c r="CR27" s="98"/>
      <c r="CS27" s="98"/>
      <c r="CT27" s="98"/>
      <c r="CU27" s="98"/>
      <c r="CV27" s="98"/>
      <c r="CW27" s="98"/>
      <c r="CX27" s="98"/>
      <c r="CY27" s="98"/>
      <c r="CZ27" s="98"/>
      <c r="DA27" s="98"/>
      <c r="DB27" s="98"/>
      <c r="DC27" s="98"/>
      <c r="DD27" s="98"/>
      <c r="DE27" s="98"/>
      <c r="DF27" s="98"/>
      <c r="DG27" s="98"/>
      <c r="DH27" s="98"/>
      <c r="DI27" s="98"/>
      <c r="DJ27" s="98"/>
      <c r="DK27" s="98"/>
      <c r="DL27" s="98"/>
      <c r="DM27" s="98"/>
      <c r="DN27" s="98"/>
      <c r="DO27" s="98"/>
      <c r="DP27" s="98"/>
      <c r="DQ27" s="98"/>
      <c r="DR27" s="98"/>
      <c r="DS27" s="98"/>
      <c r="DT27" s="98"/>
      <c r="DU27" s="98"/>
      <c r="DV27" s="98"/>
      <c r="DW27" s="98"/>
      <c r="DX27" s="98"/>
      <c r="DY27" s="98"/>
      <c r="DZ27" s="98"/>
      <c r="EA27" s="98"/>
      <c r="EB27" s="98"/>
      <c r="EC27" s="98"/>
      <c r="ED27" s="98"/>
      <c r="EE27" s="98"/>
      <c r="EF27" s="98"/>
      <c r="EG27" s="98"/>
      <c r="EH27" s="98"/>
      <c r="EI27" s="98"/>
      <c r="EJ27" s="98"/>
      <c r="EK27" s="98"/>
      <c r="EL27" s="98"/>
      <c r="EM27" s="98"/>
      <c r="EN27" s="98"/>
      <c r="EO27" s="98"/>
      <c r="EP27" s="98"/>
      <c r="EQ27" s="98"/>
      <c r="ER27" s="98"/>
      <c r="ES27" s="98"/>
      <c r="ET27" s="98"/>
      <c r="EU27" s="98"/>
      <c r="EV27" s="98"/>
      <c r="EW27" s="98"/>
      <c r="EX27" s="98"/>
      <c r="EY27" s="98"/>
      <c r="EZ27" s="98"/>
      <c r="FA27" s="98"/>
      <c r="FB27" s="98"/>
      <c r="FC27" s="98"/>
      <c r="FD27" s="98"/>
      <c r="FE27" s="98"/>
      <c r="FF27" s="98"/>
      <c r="FG27" s="98"/>
      <c r="FH27" s="98"/>
      <c r="FI27" s="98"/>
      <c r="FJ27" s="98"/>
      <c r="FK27" s="98"/>
      <c r="FL27" s="98"/>
      <c r="FM27" s="98"/>
      <c r="FN27" s="98"/>
      <c r="FO27" s="98"/>
      <c r="FP27" s="9"/>
      <c r="FQ27" s="9"/>
      <c r="FR27" s="9"/>
      <c r="FS27" s="9"/>
      <c r="FT27" s="9"/>
      <c r="FU27" s="9"/>
      <c r="FV27" s="9"/>
      <c r="FW27" s="9"/>
      <c r="FX27" s="9"/>
      <c r="FY27" s="9"/>
      <c r="FZ27" s="9"/>
      <c r="GA27" s="9"/>
      <c r="GB27" s="9"/>
      <c r="GC27" s="9"/>
      <c r="GD27" s="9"/>
      <c r="GE27" s="9"/>
      <c r="GF27" s="9"/>
      <c r="GG27" s="9"/>
      <c r="GH27" s="9"/>
      <c r="GI27" s="9"/>
      <c r="GJ27" s="9"/>
    </row>
    <row r="28" spans="1:192" s="93" customFormat="1" ht="31.5" hidden="1">
      <c r="A28" s="104">
        <f>COUNTA($D$4:D28)</f>
        <v>18</v>
      </c>
      <c r="B28" s="105" t="s">
        <v>235</v>
      </c>
      <c r="C28" s="101" t="s">
        <v>110</v>
      </c>
      <c r="D28" s="106">
        <v>600</v>
      </c>
      <c r="E28" s="106">
        <f t="shared" si="4"/>
        <v>319.79999999999995</v>
      </c>
      <c r="F28" s="106">
        <f t="shared" si="5"/>
        <v>280.2</v>
      </c>
      <c r="G28" s="108"/>
      <c r="H28" s="98"/>
      <c r="I28" s="98"/>
      <c r="J28" s="98"/>
      <c r="K28" s="98"/>
      <c r="L28" s="98"/>
      <c r="M28" s="98"/>
      <c r="N28" s="98"/>
      <c r="O28" s="98"/>
      <c r="P28" s="98"/>
      <c r="Q28" s="98"/>
      <c r="R28" s="98"/>
      <c r="S28" s="98"/>
      <c r="T28" s="98"/>
      <c r="U28" s="98"/>
      <c r="V28" s="98"/>
      <c r="W28" s="98"/>
      <c r="X28" s="98"/>
      <c r="Y28" s="98"/>
      <c r="Z28" s="98"/>
      <c r="AA28" s="98"/>
      <c r="AB28" s="98"/>
      <c r="AC28" s="98"/>
      <c r="AD28" s="98"/>
      <c r="AE28" s="98"/>
      <c r="AF28" s="98"/>
      <c r="AG28" s="98"/>
      <c r="AH28" s="98"/>
      <c r="AI28" s="98"/>
      <c r="AJ28" s="98"/>
      <c r="AK28" s="98"/>
      <c r="AL28" s="98"/>
      <c r="AM28" s="98"/>
      <c r="AN28" s="98"/>
      <c r="AO28" s="98"/>
      <c r="AP28" s="98"/>
      <c r="AQ28" s="98"/>
      <c r="AR28" s="98"/>
      <c r="AS28" s="98"/>
      <c r="AT28" s="98"/>
      <c r="AU28" s="98"/>
      <c r="AV28" s="98"/>
      <c r="AW28" s="98"/>
      <c r="AX28" s="98"/>
      <c r="AY28" s="98"/>
      <c r="AZ28" s="98"/>
      <c r="BA28" s="98"/>
      <c r="BB28" s="98"/>
      <c r="BC28" s="98"/>
      <c r="BD28" s="98"/>
      <c r="BE28" s="98"/>
      <c r="BF28" s="98"/>
      <c r="BG28" s="98"/>
      <c r="BH28" s="98"/>
      <c r="BI28" s="98"/>
      <c r="BJ28" s="98"/>
      <c r="BK28" s="98"/>
      <c r="BL28" s="98"/>
      <c r="BM28" s="98"/>
      <c r="BN28" s="98"/>
      <c r="BO28" s="98"/>
      <c r="BP28" s="98"/>
      <c r="BQ28" s="98"/>
      <c r="BR28" s="98"/>
      <c r="BS28" s="98"/>
      <c r="BT28" s="98"/>
      <c r="BU28" s="98"/>
      <c r="BV28" s="98"/>
      <c r="BW28" s="98"/>
      <c r="BX28" s="98"/>
      <c r="BY28" s="98"/>
      <c r="BZ28" s="98"/>
      <c r="CA28" s="98"/>
      <c r="CB28" s="98"/>
      <c r="CC28" s="98"/>
      <c r="CD28" s="98"/>
      <c r="CE28" s="98"/>
      <c r="CF28" s="98"/>
      <c r="CG28" s="98"/>
      <c r="CH28" s="98"/>
      <c r="CI28" s="98"/>
      <c r="CJ28" s="98"/>
      <c r="CK28" s="98"/>
      <c r="CL28" s="98"/>
      <c r="CM28" s="98"/>
      <c r="CN28" s="98"/>
      <c r="CO28" s="98"/>
      <c r="CP28" s="98"/>
      <c r="CQ28" s="98"/>
      <c r="CR28" s="98"/>
      <c r="CS28" s="98"/>
      <c r="CT28" s="98"/>
      <c r="CU28" s="98"/>
      <c r="CV28" s="98"/>
      <c r="CW28" s="98"/>
      <c r="CX28" s="98"/>
      <c r="CY28" s="98"/>
      <c r="CZ28" s="98"/>
      <c r="DA28" s="98"/>
      <c r="DB28" s="98"/>
      <c r="DC28" s="98"/>
      <c r="DD28" s="98"/>
      <c r="DE28" s="98"/>
      <c r="DF28" s="98"/>
      <c r="DG28" s="98"/>
      <c r="DH28" s="98"/>
      <c r="DI28" s="98"/>
      <c r="DJ28" s="98"/>
      <c r="DK28" s="98"/>
      <c r="DL28" s="98"/>
      <c r="DM28" s="98"/>
      <c r="DN28" s="98"/>
      <c r="DO28" s="98"/>
      <c r="DP28" s="98"/>
      <c r="DQ28" s="98"/>
      <c r="DR28" s="98"/>
      <c r="DS28" s="98"/>
      <c r="DT28" s="98"/>
      <c r="DU28" s="98"/>
      <c r="DV28" s="98"/>
      <c r="DW28" s="98"/>
      <c r="DX28" s="98"/>
      <c r="DY28" s="98"/>
      <c r="DZ28" s="98"/>
      <c r="EA28" s="98"/>
      <c r="EB28" s="98"/>
      <c r="EC28" s="98"/>
      <c r="ED28" s="98"/>
      <c r="EE28" s="98"/>
      <c r="EF28" s="98"/>
      <c r="EG28" s="98"/>
      <c r="EH28" s="98"/>
      <c r="EI28" s="98"/>
      <c r="EJ28" s="98"/>
      <c r="EK28" s="98"/>
      <c r="EL28" s="98"/>
      <c r="EM28" s="98"/>
      <c r="EN28" s="98"/>
      <c r="EO28" s="98"/>
      <c r="EP28" s="98"/>
      <c r="EQ28" s="98"/>
      <c r="ER28" s="98"/>
      <c r="ES28" s="98"/>
      <c r="ET28" s="98"/>
      <c r="EU28" s="98"/>
      <c r="EV28" s="98"/>
      <c r="EW28" s="98"/>
      <c r="EX28" s="98"/>
      <c r="EY28" s="98"/>
      <c r="EZ28" s="98"/>
      <c r="FA28" s="98"/>
      <c r="FB28" s="98"/>
      <c r="FC28" s="98"/>
      <c r="FD28" s="98"/>
      <c r="FE28" s="98"/>
      <c r="FF28" s="98"/>
      <c r="FG28" s="98"/>
      <c r="FH28" s="98"/>
      <c r="FI28" s="98"/>
      <c r="FJ28" s="98"/>
      <c r="FK28" s="98"/>
      <c r="FL28" s="98"/>
      <c r="FM28" s="98"/>
      <c r="FN28" s="98"/>
      <c r="FO28" s="98"/>
      <c r="FP28" s="9"/>
      <c r="FQ28" s="9"/>
      <c r="FR28" s="9"/>
      <c r="FS28" s="9"/>
      <c r="FT28" s="9"/>
      <c r="FU28" s="9"/>
      <c r="FV28" s="9"/>
      <c r="FW28" s="9"/>
      <c r="FX28" s="9"/>
      <c r="FY28" s="9"/>
      <c r="FZ28" s="9"/>
      <c r="GA28" s="9"/>
      <c r="GB28" s="9"/>
      <c r="GC28" s="9"/>
      <c r="GD28" s="9"/>
      <c r="GE28" s="9"/>
      <c r="GF28" s="9"/>
      <c r="GG28" s="9"/>
      <c r="GH28" s="9"/>
      <c r="GI28" s="9"/>
      <c r="GJ28" s="9"/>
    </row>
    <row r="29" spans="1:192" s="93" customFormat="1" ht="16.5" hidden="1">
      <c r="A29" s="94" t="s">
        <v>236</v>
      </c>
      <c r="B29" s="95" t="s">
        <v>237</v>
      </c>
      <c r="C29" s="94"/>
      <c r="D29" s="96"/>
      <c r="E29" s="96"/>
      <c r="F29" s="96"/>
      <c r="G29" s="97"/>
      <c r="H29" s="98"/>
      <c r="I29" s="98"/>
      <c r="J29" s="98"/>
      <c r="K29" s="98"/>
      <c r="L29" s="98"/>
      <c r="M29" s="98"/>
      <c r="N29" s="98"/>
      <c r="O29" s="98"/>
      <c r="P29" s="98"/>
      <c r="Q29" s="98"/>
      <c r="R29" s="98"/>
      <c r="S29" s="98"/>
      <c r="T29" s="98"/>
      <c r="U29" s="98"/>
      <c r="V29" s="98"/>
      <c r="W29" s="98"/>
      <c r="X29" s="98"/>
      <c r="Y29" s="98"/>
      <c r="Z29" s="98"/>
      <c r="AA29" s="98"/>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c r="BB29" s="98"/>
      <c r="BC29" s="98"/>
      <c r="BD29" s="98"/>
      <c r="BE29" s="98"/>
      <c r="BF29" s="98"/>
      <c r="BG29" s="98"/>
      <c r="BH29" s="98"/>
      <c r="BI29" s="98"/>
      <c r="BJ29" s="98"/>
      <c r="BK29" s="98"/>
      <c r="BL29" s="98"/>
      <c r="BM29" s="98"/>
      <c r="BN29" s="98"/>
      <c r="BO29" s="98"/>
      <c r="BP29" s="98"/>
      <c r="BQ29" s="98"/>
      <c r="BR29" s="98"/>
      <c r="BS29" s="98"/>
      <c r="BT29" s="98"/>
      <c r="BU29" s="98"/>
      <c r="BV29" s="98"/>
      <c r="BW29" s="98"/>
      <c r="BX29" s="98"/>
      <c r="BY29" s="98"/>
      <c r="BZ29" s="98"/>
      <c r="CA29" s="98"/>
      <c r="CB29" s="98"/>
      <c r="CC29" s="98"/>
      <c r="CD29" s="98"/>
      <c r="CE29" s="98"/>
      <c r="CF29" s="98"/>
      <c r="CG29" s="98"/>
      <c r="CH29" s="98"/>
      <c r="CI29" s="98"/>
      <c r="CJ29" s="98"/>
      <c r="CK29" s="98"/>
      <c r="CL29" s="98"/>
      <c r="CM29" s="98"/>
      <c r="CN29" s="98"/>
      <c r="CO29" s="98"/>
      <c r="CP29" s="98"/>
      <c r="CQ29" s="98"/>
      <c r="CR29" s="98"/>
      <c r="CS29" s="98"/>
      <c r="CT29" s="98"/>
      <c r="CU29" s="98"/>
      <c r="CV29" s="98"/>
      <c r="CW29" s="98"/>
      <c r="CX29" s="98"/>
      <c r="CY29" s="98"/>
      <c r="CZ29" s="98"/>
      <c r="DA29" s="98"/>
      <c r="DB29" s="98"/>
      <c r="DC29" s="98"/>
      <c r="DD29" s="98"/>
      <c r="DE29" s="98"/>
      <c r="DF29" s="98"/>
      <c r="DG29" s="98"/>
      <c r="DH29" s="98"/>
      <c r="DI29" s="98"/>
      <c r="DJ29" s="98"/>
      <c r="DK29" s="98"/>
      <c r="DL29" s="98"/>
      <c r="DM29" s="98"/>
      <c r="DN29" s="98"/>
      <c r="DO29" s="98"/>
      <c r="DP29" s="98"/>
      <c r="DQ29" s="98"/>
      <c r="DR29" s="98"/>
      <c r="DS29" s="98"/>
      <c r="DT29" s="98"/>
      <c r="DU29" s="98"/>
      <c r="DV29" s="98"/>
      <c r="DW29" s="98"/>
      <c r="DX29" s="98"/>
      <c r="DY29" s="98"/>
      <c r="DZ29" s="98"/>
      <c r="EA29" s="98"/>
      <c r="EB29" s="98"/>
      <c r="EC29" s="98"/>
      <c r="ED29" s="98"/>
      <c r="EE29" s="98"/>
      <c r="EF29" s="98"/>
      <c r="EG29" s="98"/>
      <c r="EH29" s="98"/>
      <c r="EI29" s="98"/>
      <c r="EJ29" s="98"/>
      <c r="EK29" s="98"/>
      <c r="EL29" s="98"/>
      <c r="EM29" s="98"/>
      <c r="EN29" s="98"/>
      <c r="EO29" s="98"/>
      <c r="EP29" s="98"/>
      <c r="EQ29" s="98"/>
      <c r="ER29" s="98"/>
      <c r="ES29" s="98"/>
      <c r="ET29" s="98"/>
      <c r="EU29" s="98"/>
      <c r="EV29" s="98"/>
      <c r="EW29" s="98"/>
      <c r="EX29" s="98"/>
      <c r="EY29" s="98"/>
      <c r="EZ29" s="98"/>
      <c r="FA29" s="98"/>
      <c r="FB29" s="98"/>
      <c r="FC29" s="98"/>
      <c r="FD29" s="98"/>
      <c r="FE29" s="98"/>
      <c r="FF29" s="98"/>
      <c r="FG29" s="98"/>
      <c r="FH29" s="98"/>
      <c r="FI29" s="98"/>
      <c r="FJ29" s="98"/>
      <c r="FK29" s="98"/>
      <c r="FL29" s="98"/>
      <c r="FM29" s="98"/>
      <c r="FN29" s="98"/>
      <c r="FO29" s="98"/>
      <c r="FP29" s="9"/>
      <c r="FQ29" s="9"/>
      <c r="FR29" s="9"/>
      <c r="FS29" s="9"/>
      <c r="FT29" s="9"/>
      <c r="FU29" s="9"/>
      <c r="FV29" s="9"/>
      <c r="FW29" s="9"/>
      <c r="FX29" s="9"/>
      <c r="FY29" s="9"/>
      <c r="FZ29" s="9"/>
      <c r="GA29" s="9"/>
      <c r="GB29" s="9"/>
      <c r="GC29" s="9"/>
      <c r="GD29" s="9"/>
      <c r="GE29" s="9"/>
      <c r="GF29" s="9"/>
      <c r="GG29" s="9"/>
      <c r="GH29" s="9"/>
      <c r="GI29" s="9"/>
      <c r="GJ29" s="9"/>
    </row>
    <row r="30" spans="1:192" s="93" customFormat="1" ht="16.5" hidden="1">
      <c r="A30" s="104" t="s">
        <v>148</v>
      </c>
      <c r="B30" s="100" t="s">
        <v>35</v>
      </c>
      <c r="C30" s="101"/>
      <c r="D30" s="106"/>
      <c r="E30" s="106"/>
      <c r="F30" s="106"/>
      <c r="G30" s="103"/>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8"/>
      <c r="BM30" s="98"/>
      <c r="BN30" s="98"/>
      <c r="BO30" s="98"/>
      <c r="BP30" s="98"/>
      <c r="BQ30" s="98"/>
      <c r="BR30" s="98"/>
      <c r="BS30" s="98"/>
      <c r="BT30" s="98"/>
      <c r="BU30" s="98"/>
      <c r="BV30" s="98"/>
      <c r="BW30" s="98"/>
      <c r="BX30" s="98"/>
      <c r="BY30" s="98"/>
      <c r="BZ30" s="98"/>
      <c r="CA30" s="98"/>
      <c r="CB30" s="98"/>
      <c r="CC30" s="98"/>
      <c r="CD30" s="98"/>
      <c r="CE30" s="98"/>
      <c r="CF30" s="98"/>
      <c r="CG30" s="98"/>
      <c r="CH30" s="98"/>
      <c r="CI30" s="98"/>
      <c r="CJ30" s="98"/>
      <c r="CK30" s="98"/>
      <c r="CL30" s="98"/>
      <c r="CM30" s="98"/>
      <c r="CN30" s="98"/>
      <c r="CO30" s="98"/>
      <c r="CP30" s="98"/>
      <c r="CQ30" s="98"/>
      <c r="CR30" s="98"/>
      <c r="CS30" s="98"/>
      <c r="CT30" s="98"/>
      <c r="CU30" s="98"/>
      <c r="CV30" s="98"/>
      <c r="CW30" s="98"/>
      <c r="CX30" s="98"/>
      <c r="CY30" s="98"/>
      <c r="CZ30" s="98"/>
      <c r="DA30" s="98"/>
      <c r="DB30" s="98"/>
      <c r="DC30" s="98"/>
      <c r="DD30" s="98"/>
      <c r="DE30" s="98"/>
      <c r="DF30" s="98"/>
      <c r="DG30" s="98"/>
      <c r="DH30" s="98"/>
      <c r="DI30" s="98"/>
      <c r="DJ30" s="98"/>
      <c r="DK30" s="98"/>
      <c r="DL30" s="98"/>
      <c r="DM30" s="98"/>
      <c r="DN30" s="98"/>
      <c r="DO30" s="98"/>
      <c r="DP30" s="98"/>
      <c r="DQ30" s="98"/>
      <c r="DR30" s="98"/>
      <c r="DS30" s="98"/>
      <c r="DT30" s="98"/>
      <c r="DU30" s="98"/>
      <c r="DV30" s="98"/>
      <c r="DW30" s="98"/>
      <c r="DX30" s="98"/>
      <c r="DY30" s="98"/>
      <c r="DZ30" s="98"/>
      <c r="EA30" s="98"/>
      <c r="EB30" s="98"/>
      <c r="EC30" s="98"/>
      <c r="ED30" s="98"/>
      <c r="EE30" s="98"/>
      <c r="EF30" s="98"/>
      <c r="EG30" s="98"/>
      <c r="EH30" s="98"/>
      <c r="EI30" s="98"/>
      <c r="EJ30" s="98"/>
      <c r="EK30" s="98"/>
      <c r="EL30" s="98"/>
      <c r="EM30" s="98"/>
      <c r="EN30" s="98"/>
      <c r="EO30" s="98"/>
      <c r="EP30" s="98"/>
      <c r="EQ30" s="98"/>
      <c r="ER30" s="98"/>
      <c r="ES30" s="98"/>
      <c r="ET30" s="98"/>
      <c r="EU30" s="98"/>
      <c r="EV30" s="98"/>
      <c r="EW30" s="98"/>
      <c r="EX30" s="98"/>
      <c r="EY30" s="98"/>
      <c r="EZ30" s="98"/>
      <c r="FA30" s="98"/>
      <c r="FB30" s="98"/>
      <c r="FC30" s="98"/>
      <c r="FD30" s="98"/>
      <c r="FE30" s="98"/>
      <c r="FF30" s="98"/>
      <c r="FG30" s="98"/>
      <c r="FH30" s="98"/>
      <c r="FI30" s="98"/>
      <c r="FJ30" s="98"/>
      <c r="FK30" s="98"/>
      <c r="FL30" s="98"/>
      <c r="FM30" s="98"/>
      <c r="FN30" s="98"/>
      <c r="FO30" s="98"/>
      <c r="FP30" s="9"/>
      <c r="FQ30" s="9"/>
      <c r="FR30" s="9"/>
      <c r="FS30" s="9"/>
      <c r="FT30" s="9"/>
      <c r="FU30" s="9"/>
      <c r="FV30" s="9"/>
      <c r="FW30" s="9"/>
      <c r="FX30" s="9"/>
      <c r="FY30" s="9"/>
      <c r="FZ30" s="9"/>
      <c r="GA30" s="9"/>
      <c r="GB30" s="9"/>
      <c r="GC30" s="9"/>
      <c r="GD30" s="9"/>
      <c r="GE30" s="9"/>
      <c r="GF30" s="9"/>
      <c r="GG30" s="9"/>
      <c r="GH30" s="9"/>
      <c r="GI30" s="9"/>
      <c r="GJ30" s="9"/>
    </row>
    <row r="31" spans="1:192" s="93" customFormat="1" ht="16.5" hidden="1">
      <c r="A31" s="104">
        <f>COUNTA($D$4:D31)</f>
        <v>19</v>
      </c>
      <c r="B31" s="105" t="s">
        <v>36</v>
      </c>
      <c r="C31" s="101" t="s">
        <v>12</v>
      </c>
      <c r="D31" s="106">
        <v>10017.733099999998</v>
      </c>
      <c r="E31" s="106">
        <f t="shared" ref="E31:E47" si="6">+D31*53.3%</f>
        <v>5339.4517422999979</v>
      </c>
      <c r="F31" s="106">
        <f t="shared" ref="F31:F47" si="7">+D31*46.7%</f>
        <v>4678.2813576999988</v>
      </c>
      <c r="G31" s="108"/>
      <c r="H31" s="98"/>
      <c r="I31" s="98"/>
      <c r="J31" s="98"/>
      <c r="K31" s="98"/>
      <c r="L31" s="98"/>
      <c r="M31" s="98"/>
      <c r="N31" s="98"/>
      <c r="O31" s="98"/>
      <c r="P31" s="98"/>
      <c r="Q31" s="98"/>
      <c r="R31" s="98"/>
      <c r="S31" s="98"/>
      <c r="T31" s="98"/>
      <c r="U31" s="98"/>
      <c r="V31" s="98"/>
      <c r="W31" s="98"/>
      <c r="X31" s="98"/>
      <c r="Y31" s="98"/>
      <c r="Z31" s="98"/>
      <c r="AA31" s="98"/>
      <c r="AB31" s="98"/>
      <c r="AC31" s="98"/>
      <c r="AD31" s="98"/>
      <c r="AE31" s="98"/>
      <c r="AF31" s="98"/>
      <c r="AG31" s="98"/>
      <c r="AH31" s="98"/>
      <c r="AI31" s="98"/>
      <c r="AJ31" s="98"/>
      <c r="AK31" s="98"/>
      <c r="AL31" s="98"/>
      <c r="AM31" s="98"/>
      <c r="AN31" s="98"/>
      <c r="AO31" s="98"/>
      <c r="AP31" s="98"/>
      <c r="AQ31" s="98"/>
      <c r="AR31" s="98"/>
      <c r="AS31" s="98"/>
      <c r="AT31" s="98"/>
      <c r="AU31" s="98"/>
      <c r="AV31" s="98"/>
      <c r="AW31" s="98"/>
      <c r="AX31" s="98"/>
      <c r="AY31" s="98"/>
      <c r="AZ31" s="98"/>
      <c r="BA31" s="98"/>
      <c r="BB31" s="98"/>
      <c r="BC31" s="98"/>
      <c r="BD31" s="98"/>
      <c r="BE31" s="98"/>
      <c r="BF31" s="98"/>
      <c r="BG31" s="98"/>
      <c r="BH31" s="98"/>
      <c r="BI31" s="98"/>
      <c r="BJ31" s="98"/>
      <c r="BK31" s="98"/>
      <c r="BL31" s="98"/>
      <c r="BM31" s="98"/>
      <c r="BN31" s="98"/>
      <c r="BO31" s="98"/>
      <c r="BP31" s="98"/>
      <c r="BQ31" s="98"/>
      <c r="BR31" s="98"/>
      <c r="BS31" s="98"/>
      <c r="BT31" s="98"/>
      <c r="BU31" s="98"/>
      <c r="BV31" s="98"/>
      <c r="BW31" s="98"/>
      <c r="BX31" s="98"/>
      <c r="BY31" s="98"/>
      <c r="BZ31" s="98"/>
      <c r="CA31" s="98"/>
      <c r="CB31" s="98"/>
      <c r="CC31" s="98"/>
      <c r="CD31" s="98"/>
      <c r="CE31" s="98"/>
      <c r="CF31" s="98"/>
      <c r="CG31" s="98"/>
      <c r="CH31" s="98"/>
      <c r="CI31" s="98"/>
      <c r="CJ31" s="98"/>
      <c r="CK31" s="98"/>
      <c r="CL31" s="98"/>
      <c r="CM31" s="98"/>
      <c r="CN31" s="98"/>
      <c r="CO31" s="98"/>
      <c r="CP31" s="98"/>
      <c r="CQ31" s="98"/>
      <c r="CR31" s="98"/>
      <c r="CS31" s="98"/>
      <c r="CT31" s="98"/>
      <c r="CU31" s="98"/>
      <c r="CV31" s="98"/>
      <c r="CW31" s="98"/>
      <c r="CX31" s="98"/>
      <c r="CY31" s="98"/>
      <c r="CZ31" s="98"/>
      <c r="DA31" s="98"/>
      <c r="DB31" s="98"/>
      <c r="DC31" s="98"/>
      <c r="DD31" s="98"/>
      <c r="DE31" s="98"/>
      <c r="DF31" s="98"/>
      <c r="DG31" s="98"/>
      <c r="DH31" s="98"/>
      <c r="DI31" s="98"/>
      <c r="DJ31" s="98"/>
      <c r="DK31" s="98"/>
      <c r="DL31" s="98"/>
      <c r="DM31" s="98"/>
      <c r="DN31" s="98"/>
      <c r="DO31" s="98"/>
      <c r="DP31" s="98"/>
      <c r="DQ31" s="98"/>
      <c r="DR31" s="98"/>
      <c r="DS31" s="98"/>
      <c r="DT31" s="98"/>
      <c r="DU31" s="98"/>
      <c r="DV31" s="98"/>
      <c r="DW31" s="98"/>
      <c r="DX31" s="98"/>
      <c r="DY31" s="98"/>
      <c r="DZ31" s="98"/>
      <c r="EA31" s="98"/>
      <c r="EB31" s="98"/>
      <c r="EC31" s="98"/>
      <c r="ED31" s="98"/>
      <c r="EE31" s="98"/>
      <c r="EF31" s="98"/>
      <c r="EG31" s="98"/>
      <c r="EH31" s="98"/>
      <c r="EI31" s="98"/>
      <c r="EJ31" s="98"/>
      <c r="EK31" s="98"/>
      <c r="EL31" s="98"/>
      <c r="EM31" s="98"/>
      <c r="EN31" s="98"/>
      <c r="EO31" s="98"/>
      <c r="EP31" s="98"/>
      <c r="EQ31" s="98"/>
      <c r="ER31" s="98"/>
      <c r="ES31" s="98"/>
      <c r="ET31" s="98"/>
      <c r="EU31" s="98"/>
      <c r="EV31" s="98"/>
      <c r="EW31" s="98"/>
      <c r="EX31" s="98"/>
      <c r="EY31" s="98"/>
      <c r="EZ31" s="98"/>
      <c r="FA31" s="98"/>
      <c r="FB31" s="98"/>
      <c r="FC31" s="98"/>
      <c r="FD31" s="98"/>
      <c r="FE31" s="98"/>
      <c r="FF31" s="98"/>
      <c r="FG31" s="98"/>
      <c r="FH31" s="98"/>
      <c r="FI31" s="98"/>
      <c r="FJ31" s="98"/>
      <c r="FK31" s="98"/>
      <c r="FL31" s="98"/>
      <c r="FM31" s="98"/>
      <c r="FN31" s="98"/>
      <c r="FO31" s="98"/>
      <c r="FP31" s="9"/>
      <c r="FQ31" s="9"/>
      <c r="FR31" s="9"/>
      <c r="FS31" s="9"/>
      <c r="FT31" s="9"/>
      <c r="FU31" s="9"/>
      <c r="FV31" s="9"/>
      <c r="FW31" s="9"/>
      <c r="FX31" s="9"/>
      <c r="FY31" s="9"/>
      <c r="FZ31" s="9"/>
      <c r="GA31" s="9"/>
      <c r="GB31" s="9"/>
      <c r="GC31" s="9"/>
      <c r="GD31" s="9"/>
      <c r="GE31" s="9"/>
      <c r="GF31" s="9"/>
      <c r="GG31" s="9"/>
      <c r="GH31" s="9"/>
      <c r="GI31" s="9"/>
      <c r="GJ31" s="9"/>
    </row>
    <row r="32" spans="1:192" s="93" customFormat="1" ht="31.5" hidden="1">
      <c r="A32" s="104">
        <f>COUNTA($D$4:D32)</f>
        <v>20</v>
      </c>
      <c r="B32" s="105" t="s">
        <v>37</v>
      </c>
      <c r="C32" s="101" t="s">
        <v>12</v>
      </c>
      <c r="D32" s="106">
        <v>826.54399999999998</v>
      </c>
      <c r="E32" s="106">
        <f t="shared" si="6"/>
        <v>440.5479519999999</v>
      </c>
      <c r="F32" s="106">
        <f t="shared" si="7"/>
        <v>385.99604800000003</v>
      </c>
      <c r="G32" s="108"/>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8"/>
      <c r="BM32" s="98"/>
      <c r="BN32" s="98"/>
      <c r="BO32" s="98"/>
      <c r="BP32" s="98"/>
      <c r="BQ32" s="98"/>
      <c r="BR32" s="98"/>
      <c r="BS32" s="98"/>
      <c r="BT32" s="98"/>
      <c r="BU32" s="98"/>
      <c r="BV32" s="98"/>
      <c r="BW32" s="98"/>
      <c r="BX32" s="98"/>
      <c r="BY32" s="98"/>
      <c r="BZ32" s="98"/>
      <c r="CA32" s="98"/>
      <c r="CB32" s="98"/>
      <c r="CC32" s="98"/>
      <c r="CD32" s="98"/>
      <c r="CE32" s="98"/>
      <c r="CF32" s="98"/>
      <c r="CG32" s="98"/>
      <c r="CH32" s="98"/>
      <c r="CI32" s="98"/>
      <c r="CJ32" s="98"/>
      <c r="CK32" s="98"/>
      <c r="CL32" s="98"/>
      <c r="CM32" s="98"/>
      <c r="CN32" s="98"/>
      <c r="CO32" s="98"/>
      <c r="CP32" s="98"/>
      <c r="CQ32" s="98"/>
      <c r="CR32" s="98"/>
      <c r="CS32" s="98"/>
      <c r="CT32" s="98"/>
      <c r="CU32" s="98"/>
      <c r="CV32" s="98"/>
      <c r="CW32" s="98"/>
      <c r="CX32" s="98"/>
      <c r="CY32" s="98"/>
      <c r="CZ32" s="98"/>
      <c r="DA32" s="98"/>
      <c r="DB32" s="98"/>
      <c r="DC32" s="98"/>
      <c r="DD32" s="98"/>
      <c r="DE32" s="98"/>
      <c r="DF32" s="98"/>
      <c r="DG32" s="98"/>
      <c r="DH32" s="98"/>
      <c r="DI32" s="98"/>
      <c r="DJ32" s="98"/>
      <c r="DK32" s="98"/>
      <c r="DL32" s="98"/>
      <c r="DM32" s="98"/>
      <c r="DN32" s="98"/>
      <c r="DO32" s="98"/>
      <c r="DP32" s="98"/>
      <c r="DQ32" s="98"/>
      <c r="DR32" s="98"/>
      <c r="DS32" s="98"/>
      <c r="DT32" s="98"/>
      <c r="DU32" s="98"/>
      <c r="DV32" s="98"/>
      <c r="DW32" s="98"/>
      <c r="DX32" s="98"/>
      <c r="DY32" s="98"/>
      <c r="DZ32" s="98"/>
      <c r="EA32" s="98"/>
      <c r="EB32" s="98"/>
      <c r="EC32" s="98"/>
      <c r="ED32" s="98"/>
      <c r="EE32" s="98"/>
      <c r="EF32" s="98"/>
      <c r="EG32" s="98"/>
      <c r="EH32" s="98"/>
      <c r="EI32" s="98"/>
      <c r="EJ32" s="98"/>
      <c r="EK32" s="98"/>
      <c r="EL32" s="98"/>
      <c r="EM32" s="98"/>
      <c r="EN32" s="98"/>
      <c r="EO32" s="98"/>
      <c r="EP32" s="98"/>
      <c r="EQ32" s="98"/>
      <c r="ER32" s="98"/>
      <c r="ES32" s="98"/>
      <c r="ET32" s="98"/>
      <c r="EU32" s="98"/>
      <c r="EV32" s="98"/>
      <c r="EW32" s="98"/>
      <c r="EX32" s="98"/>
      <c r="EY32" s="98"/>
      <c r="EZ32" s="98"/>
      <c r="FA32" s="98"/>
      <c r="FB32" s="98"/>
      <c r="FC32" s="98"/>
      <c r="FD32" s="98"/>
      <c r="FE32" s="98"/>
      <c r="FF32" s="98"/>
      <c r="FG32" s="98"/>
      <c r="FH32" s="98"/>
      <c r="FI32" s="98"/>
      <c r="FJ32" s="98"/>
      <c r="FK32" s="98"/>
      <c r="FL32" s="98"/>
      <c r="FM32" s="98"/>
      <c r="FN32" s="98"/>
      <c r="FO32" s="98"/>
      <c r="FP32" s="9"/>
      <c r="FQ32" s="9"/>
      <c r="FR32" s="9"/>
      <c r="FS32" s="9"/>
      <c r="FT32" s="9"/>
      <c r="FU32" s="9"/>
      <c r="FV32" s="9"/>
      <c r="FW32" s="9"/>
      <c r="FX32" s="9"/>
      <c r="FY32" s="9"/>
      <c r="FZ32" s="9"/>
      <c r="GA32" s="9"/>
      <c r="GB32" s="9"/>
      <c r="GC32" s="9"/>
      <c r="GD32" s="9"/>
      <c r="GE32" s="9"/>
      <c r="GF32" s="9"/>
      <c r="GG32" s="9"/>
      <c r="GH32" s="9"/>
      <c r="GI32" s="9"/>
      <c r="GJ32" s="9"/>
    </row>
    <row r="33" spans="1:192" s="93" customFormat="1" ht="31.5" hidden="1">
      <c r="A33" s="104">
        <f>COUNTA($D$4:D33)</f>
        <v>21</v>
      </c>
      <c r="B33" s="105" t="s">
        <v>238</v>
      </c>
      <c r="C33" s="101" t="s">
        <v>12</v>
      </c>
      <c r="D33" s="106">
        <v>5612.9839999999986</v>
      </c>
      <c r="E33" s="106">
        <f t="shared" si="6"/>
        <v>2991.7204719999986</v>
      </c>
      <c r="F33" s="106">
        <f t="shared" si="7"/>
        <v>2621.2635279999995</v>
      </c>
      <c r="G33" s="108"/>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8"/>
      <c r="BM33" s="98"/>
      <c r="BN33" s="98"/>
      <c r="BO33" s="98"/>
      <c r="BP33" s="98"/>
      <c r="BQ33" s="98"/>
      <c r="BR33" s="98"/>
      <c r="BS33" s="98"/>
      <c r="BT33" s="98"/>
      <c r="BU33" s="98"/>
      <c r="BV33" s="98"/>
      <c r="BW33" s="98"/>
      <c r="BX33" s="98"/>
      <c r="BY33" s="98"/>
      <c r="BZ33" s="98"/>
      <c r="CA33" s="98"/>
      <c r="CB33" s="98"/>
      <c r="CC33" s="98"/>
      <c r="CD33" s="98"/>
      <c r="CE33" s="98"/>
      <c r="CF33" s="98"/>
      <c r="CG33" s="98"/>
      <c r="CH33" s="98"/>
      <c r="CI33" s="98"/>
      <c r="CJ33" s="98"/>
      <c r="CK33" s="98"/>
      <c r="CL33" s="98"/>
      <c r="CM33" s="98"/>
      <c r="CN33" s="98"/>
      <c r="CO33" s="98"/>
      <c r="CP33" s="98"/>
      <c r="CQ33" s="98"/>
      <c r="CR33" s="98"/>
      <c r="CS33" s="98"/>
      <c r="CT33" s="98"/>
      <c r="CU33" s="98"/>
      <c r="CV33" s="98"/>
      <c r="CW33" s="98"/>
      <c r="CX33" s="98"/>
      <c r="CY33" s="98"/>
      <c r="CZ33" s="98"/>
      <c r="DA33" s="98"/>
      <c r="DB33" s="98"/>
      <c r="DC33" s="98"/>
      <c r="DD33" s="98"/>
      <c r="DE33" s="98"/>
      <c r="DF33" s="98"/>
      <c r="DG33" s="98"/>
      <c r="DH33" s="98"/>
      <c r="DI33" s="98"/>
      <c r="DJ33" s="98"/>
      <c r="DK33" s="98"/>
      <c r="DL33" s="98"/>
      <c r="DM33" s="98"/>
      <c r="DN33" s="98"/>
      <c r="DO33" s="98"/>
      <c r="DP33" s="98"/>
      <c r="DQ33" s="98"/>
      <c r="DR33" s="98"/>
      <c r="DS33" s="98"/>
      <c r="DT33" s="98"/>
      <c r="DU33" s="98"/>
      <c r="DV33" s="98"/>
      <c r="DW33" s="98"/>
      <c r="DX33" s="98"/>
      <c r="DY33" s="98"/>
      <c r="DZ33" s="98"/>
      <c r="EA33" s="98"/>
      <c r="EB33" s="98"/>
      <c r="EC33" s="98"/>
      <c r="ED33" s="98"/>
      <c r="EE33" s="98"/>
      <c r="EF33" s="98"/>
      <c r="EG33" s="98"/>
      <c r="EH33" s="98"/>
      <c r="EI33" s="98"/>
      <c r="EJ33" s="98"/>
      <c r="EK33" s="98"/>
      <c r="EL33" s="98"/>
      <c r="EM33" s="98"/>
      <c r="EN33" s="98"/>
      <c r="EO33" s="98"/>
      <c r="EP33" s="98"/>
      <c r="EQ33" s="98"/>
      <c r="ER33" s="98"/>
      <c r="ES33" s="98"/>
      <c r="ET33" s="98"/>
      <c r="EU33" s="98"/>
      <c r="EV33" s="98"/>
      <c r="EW33" s="98"/>
      <c r="EX33" s="98"/>
      <c r="EY33" s="98"/>
      <c r="EZ33" s="98"/>
      <c r="FA33" s="98"/>
      <c r="FB33" s="98"/>
      <c r="FC33" s="98"/>
      <c r="FD33" s="98"/>
      <c r="FE33" s="98"/>
      <c r="FF33" s="98"/>
      <c r="FG33" s="98"/>
      <c r="FH33" s="98"/>
      <c r="FI33" s="98"/>
      <c r="FJ33" s="98"/>
      <c r="FK33" s="98"/>
      <c r="FL33" s="98"/>
      <c r="FM33" s="98"/>
      <c r="FN33" s="98"/>
      <c r="FO33" s="98"/>
      <c r="FP33" s="9"/>
      <c r="FQ33" s="9"/>
      <c r="FR33" s="9"/>
      <c r="FS33" s="9"/>
      <c r="FT33" s="9"/>
      <c r="FU33" s="9"/>
      <c r="FV33" s="9"/>
      <c r="FW33" s="9"/>
      <c r="FX33" s="9"/>
      <c r="FY33" s="9"/>
      <c r="FZ33" s="9"/>
      <c r="GA33" s="9"/>
      <c r="GB33" s="9"/>
      <c r="GC33" s="9"/>
      <c r="GD33" s="9"/>
      <c r="GE33" s="9"/>
      <c r="GF33" s="9"/>
      <c r="GG33" s="9"/>
      <c r="GH33" s="9"/>
      <c r="GI33" s="9"/>
      <c r="GJ33" s="9"/>
    </row>
    <row r="34" spans="1:192" s="93" customFormat="1" ht="16.5" hidden="1">
      <c r="A34" s="104">
        <f>COUNTA($D$4:D34)</f>
        <v>22</v>
      </c>
      <c r="B34" s="105" t="s">
        <v>38</v>
      </c>
      <c r="C34" s="101" t="s">
        <v>12</v>
      </c>
      <c r="D34" s="106">
        <v>7123.4475000000011</v>
      </c>
      <c r="E34" s="106">
        <f t="shared" si="6"/>
        <v>3796.7975175000001</v>
      </c>
      <c r="F34" s="106">
        <f t="shared" si="7"/>
        <v>3326.6499825000005</v>
      </c>
      <c r="G34" s="108"/>
      <c r="H34" s="98"/>
      <c r="I34" s="98"/>
      <c r="J34" s="98"/>
      <c r="K34" s="98"/>
      <c r="L34" s="98"/>
      <c r="M34" s="98"/>
      <c r="N34" s="98"/>
      <c r="O34" s="98"/>
      <c r="P34" s="98"/>
      <c r="Q34" s="98"/>
      <c r="R34" s="98"/>
      <c r="S34" s="98"/>
      <c r="T34" s="98"/>
      <c r="U34" s="98"/>
      <c r="V34" s="98"/>
      <c r="W34" s="98"/>
      <c r="X34" s="98"/>
      <c r="Y34" s="98"/>
      <c r="Z34" s="98"/>
      <c r="AA34" s="98"/>
      <c r="AB34" s="98"/>
      <c r="AC34" s="98"/>
      <c r="AD34" s="98"/>
      <c r="AE34" s="98"/>
      <c r="AF34" s="98"/>
      <c r="AG34" s="98"/>
      <c r="AH34" s="98"/>
      <c r="AI34" s="98"/>
      <c r="AJ34" s="98"/>
      <c r="AK34" s="98"/>
      <c r="AL34" s="98"/>
      <c r="AM34" s="98"/>
      <c r="AN34" s="98"/>
      <c r="AO34" s="98"/>
      <c r="AP34" s="98"/>
      <c r="AQ34" s="98"/>
      <c r="AR34" s="98"/>
      <c r="AS34" s="98"/>
      <c r="AT34" s="98"/>
      <c r="AU34" s="98"/>
      <c r="AV34" s="98"/>
      <c r="AW34" s="98"/>
      <c r="AX34" s="98"/>
      <c r="AY34" s="98"/>
      <c r="AZ34" s="98"/>
      <c r="BA34" s="98"/>
      <c r="BB34" s="98"/>
      <c r="BC34" s="98"/>
      <c r="BD34" s="98"/>
      <c r="BE34" s="98"/>
      <c r="BF34" s="98"/>
      <c r="BG34" s="98"/>
      <c r="BH34" s="98"/>
      <c r="BI34" s="98"/>
      <c r="BJ34" s="98"/>
      <c r="BK34" s="98"/>
      <c r="BL34" s="98"/>
      <c r="BM34" s="98"/>
      <c r="BN34" s="98"/>
      <c r="BO34" s="98"/>
      <c r="BP34" s="98"/>
      <c r="BQ34" s="98"/>
      <c r="BR34" s="98"/>
      <c r="BS34" s="98"/>
      <c r="BT34" s="98"/>
      <c r="BU34" s="98"/>
      <c r="BV34" s="98"/>
      <c r="BW34" s="98"/>
      <c r="BX34" s="98"/>
      <c r="BY34" s="98"/>
      <c r="BZ34" s="98"/>
      <c r="CA34" s="98"/>
      <c r="CB34" s="98"/>
      <c r="CC34" s="98"/>
      <c r="CD34" s="98"/>
      <c r="CE34" s="98"/>
      <c r="CF34" s="98"/>
      <c r="CG34" s="98"/>
      <c r="CH34" s="98"/>
      <c r="CI34" s="98"/>
      <c r="CJ34" s="98"/>
      <c r="CK34" s="98"/>
      <c r="CL34" s="98"/>
      <c r="CM34" s="98"/>
      <c r="CN34" s="98"/>
      <c r="CO34" s="98"/>
      <c r="CP34" s="98"/>
      <c r="CQ34" s="98"/>
      <c r="CR34" s="98"/>
      <c r="CS34" s="98"/>
      <c r="CT34" s="98"/>
      <c r="CU34" s="98"/>
      <c r="CV34" s="98"/>
      <c r="CW34" s="98"/>
      <c r="CX34" s="98"/>
      <c r="CY34" s="98"/>
      <c r="CZ34" s="98"/>
      <c r="DA34" s="98"/>
      <c r="DB34" s="98"/>
      <c r="DC34" s="98"/>
      <c r="DD34" s="98"/>
      <c r="DE34" s="98"/>
      <c r="DF34" s="98"/>
      <c r="DG34" s="98"/>
      <c r="DH34" s="98"/>
      <c r="DI34" s="98"/>
      <c r="DJ34" s="98"/>
      <c r="DK34" s="98"/>
      <c r="DL34" s="98"/>
      <c r="DM34" s="98"/>
      <c r="DN34" s="98"/>
      <c r="DO34" s="98"/>
      <c r="DP34" s="98"/>
      <c r="DQ34" s="98"/>
      <c r="DR34" s="98"/>
      <c r="DS34" s="98"/>
      <c r="DT34" s="98"/>
      <c r="DU34" s="98"/>
      <c r="DV34" s="98"/>
      <c r="DW34" s="98"/>
      <c r="DX34" s="98"/>
      <c r="DY34" s="98"/>
      <c r="DZ34" s="98"/>
      <c r="EA34" s="98"/>
      <c r="EB34" s="98"/>
      <c r="EC34" s="98"/>
      <c r="ED34" s="98"/>
      <c r="EE34" s="98"/>
      <c r="EF34" s="98"/>
      <c r="EG34" s="98"/>
      <c r="EH34" s="98"/>
      <c r="EI34" s="98"/>
      <c r="EJ34" s="98"/>
      <c r="EK34" s="98"/>
      <c r="EL34" s="98"/>
      <c r="EM34" s="98"/>
      <c r="EN34" s="98"/>
      <c r="EO34" s="98"/>
      <c r="EP34" s="98"/>
      <c r="EQ34" s="98"/>
      <c r="ER34" s="98"/>
      <c r="ES34" s="98"/>
      <c r="ET34" s="98"/>
      <c r="EU34" s="98"/>
      <c r="EV34" s="98"/>
      <c r="EW34" s="98"/>
      <c r="EX34" s="98"/>
      <c r="EY34" s="98"/>
      <c r="EZ34" s="98"/>
      <c r="FA34" s="98"/>
      <c r="FB34" s="98"/>
      <c r="FC34" s="98"/>
      <c r="FD34" s="98"/>
      <c r="FE34" s="98"/>
      <c r="FF34" s="98"/>
      <c r="FG34" s="98"/>
      <c r="FH34" s="98"/>
      <c r="FI34" s="98"/>
      <c r="FJ34" s="98"/>
      <c r="FK34" s="98"/>
      <c r="FL34" s="98"/>
      <c r="FM34" s="98"/>
      <c r="FN34" s="98"/>
      <c r="FO34" s="98"/>
      <c r="FP34" s="9"/>
      <c r="FQ34" s="9"/>
      <c r="FR34" s="9"/>
      <c r="FS34" s="9"/>
      <c r="FT34" s="9"/>
      <c r="FU34" s="9"/>
      <c r="FV34" s="9"/>
      <c r="FW34" s="9"/>
      <c r="FX34" s="9"/>
      <c r="FY34" s="9"/>
      <c r="FZ34" s="9"/>
      <c r="GA34" s="9"/>
      <c r="GB34" s="9"/>
      <c r="GC34" s="9"/>
      <c r="GD34" s="9"/>
      <c r="GE34" s="9"/>
      <c r="GF34" s="9"/>
      <c r="GG34" s="9"/>
      <c r="GH34" s="9"/>
      <c r="GI34" s="9"/>
      <c r="GJ34" s="9"/>
    </row>
    <row r="35" spans="1:192" s="93" customFormat="1" ht="31.5" hidden="1">
      <c r="A35" s="104">
        <f>COUNTA($D$4:D35)</f>
        <v>23</v>
      </c>
      <c r="B35" s="105" t="s">
        <v>39</v>
      </c>
      <c r="C35" s="101" t="s">
        <v>12</v>
      </c>
      <c r="D35" s="106">
        <v>1114.0559999999998</v>
      </c>
      <c r="E35" s="106">
        <f t="shared" si="6"/>
        <v>593.79184799999985</v>
      </c>
      <c r="F35" s="106">
        <f t="shared" si="7"/>
        <v>520.26415199999997</v>
      </c>
      <c r="G35" s="108"/>
      <c r="H35" s="98"/>
      <c r="I35" s="98"/>
      <c r="J35" s="98"/>
      <c r="K35" s="98"/>
      <c r="L35" s="98"/>
      <c r="M35" s="98"/>
      <c r="N35" s="98"/>
      <c r="O35" s="98"/>
      <c r="P35" s="98"/>
      <c r="Q35" s="98"/>
      <c r="R35" s="98"/>
      <c r="S35" s="98"/>
      <c r="T35" s="98"/>
      <c r="U35" s="98"/>
      <c r="V35" s="98"/>
      <c r="W35" s="98"/>
      <c r="X35" s="98"/>
      <c r="Y35" s="98"/>
      <c r="Z35" s="98"/>
      <c r="AA35" s="98"/>
      <c r="AB35" s="98"/>
      <c r="AC35" s="98"/>
      <c r="AD35" s="98"/>
      <c r="AE35" s="98"/>
      <c r="AF35" s="98"/>
      <c r="AG35" s="98"/>
      <c r="AH35" s="98"/>
      <c r="AI35" s="98"/>
      <c r="AJ35" s="98"/>
      <c r="AK35" s="98"/>
      <c r="AL35" s="98"/>
      <c r="AM35" s="98"/>
      <c r="AN35" s="98"/>
      <c r="AO35" s="98"/>
      <c r="AP35" s="98"/>
      <c r="AQ35" s="98"/>
      <c r="AR35" s="98"/>
      <c r="AS35" s="98"/>
      <c r="AT35" s="98"/>
      <c r="AU35" s="98"/>
      <c r="AV35" s="98"/>
      <c r="AW35" s="98"/>
      <c r="AX35" s="98"/>
      <c r="AY35" s="98"/>
      <c r="AZ35" s="98"/>
      <c r="BA35" s="98"/>
      <c r="BB35" s="98"/>
      <c r="BC35" s="98"/>
      <c r="BD35" s="98"/>
      <c r="BE35" s="98"/>
      <c r="BF35" s="98"/>
      <c r="BG35" s="98"/>
      <c r="BH35" s="98"/>
      <c r="BI35" s="98"/>
      <c r="BJ35" s="98"/>
      <c r="BK35" s="98"/>
      <c r="BL35" s="98"/>
      <c r="BM35" s="98"/>
      <c r="BN35" s="98"/>
      <c r="BO35" s="98"/>
      <c r="BP35" s="98"/>
      <c r="BQ35" s="98"/>
      <c r="BR35" s="98"/>
      <c r="BS35" s="98"/>
      <c r="BT35" s="98"/>
      <c r="BU35" s="98"/>
      <c r="BV35" s="98"/>
      <c r="BW35" s="98"/>
      <c r="BX35" s="98"/>
      <c r="BY35" s="98"/>
      <c r="BZ35" s="98"/>
      <c r="CA35" s="98"/>
      <c r="CB35" s="98"/>
      <c r="CC35" s="98"/>
      <c r="CD35" s="98"/>
      <c r="CE35" s="98"/>
      <c r="CF35" s="98"/>
      <c r="CG35" s="98"/>
      <c r="CH35" s="98"/>
      <c r="CI35" s="98"/>
      <c r="CJ35" s="98"/>
      <c r="CK35" s="98"/>
      <c r="CL35" s="98"/>
      <c r="CM35" s="98"/>
      <c r="CN35" s="98"/>
      <c r="CO35" s="98"/>
      <c r="CP35" s="98"/>
      <c r="CQ35" s="98"/>
      <c r="CR35" s="98"/>
      <c r="CS35" s="98"/>
      <c r="CT35" s="98"/>
      <c r="CU35" s="98"/>
      <c r="CV35" s="98"/>
      <c r="CW35" s="98"/>
      <c r="CX35" s="98"/>
      <c r="CY35" s="98"/>
      <c r="CZ35" s="98"/>
      <c r="DA35" s="98"/>
      <c r="DB35" s="98"/>
      <c r="DC35" s="98"/>
      <c r="DD35" s="98"/>
      <c r="DE35" s="98"/>
      <c r="DF35" s="98"/>
      <c r="DG35" s="98"/>
      <c r="DH35" s="98"/>
      <c r="DI35" s="98"/>
      <c r="DJ35" s="98"/>
      <c r="DK35" s="98"/>
      <c r="DL35" s="98"/>
      <c r="DM35" s="98"/>
      <c r="DN35" s="98"/>
      <c r="DO35" s="98"/>
      <c r="DP35" s="98"/>
      <c r="DQ35" s="98"/>
      <c r="DR35" s="98"/>
      <c r="DS35" s="98"/>
      <c r="DT35" s="98"/>
      <c r="DU35" s="98"/>
      <c r="DV35" s="98"/>
      <c r="DW35" s="98"/>
      <c r="DX35" s="98"/>
      <c r="DY35" s="98"/>
      <c r="DZ35" s="98"/>
      <c r="EA35" s="98"/>
      <c r="EB35" s="98"/>
      <c r="EC35" s="98"/>
      <c r="ED35" s="98"/>
      <c r="EE35" s="98"/>
      <c r="EF35" s="98"/>
      <c r="EG35" s="98"/>
      <c r="EH35" s="98"/>
      <c r="EI35" s="98"/>
      <c r="EJ35" s="98"/>
      <c r="EK35" s="98"/>
      <c r="EL35" s="98"/>
      <c r="EM35" s="98"/>
      <c r="EN35" s="98"/>
      <c r="EO35" s="98"/>
      <c r="EP35" s="98"/>
      <c r="EQ35" s="98"/>
      <c r="ER35" s="98"/>
      <c r="ES35" s="98"/>
      <c r="ET35" s="98"/>
      <c r="EU35" s="98"/>
      <c r="EV35" s="98"/>
      <c r="EW35" s="98"/>
      <c r="EX35" s="98"/>
      <c r="EY35" s="98"/>
      <c r="EZ35" s="98"/>
      <c r="FA35" s="98"/>
      <c r="FB35" s="98"/>
      <c r="FC35" s="98"/>
      <c r="FD35" s="98"/>
      <c r="FE35" s="98"/>
      <c r="FF35" s="98"/>
      <c r="FG35" s="98"/>
      <c r="FH35" s="98"/>
      <c r="FI35" s="98"/>
      <c r="FJ35" s="98"/>
      <c r="FK35" s="98"/>
      <c r="FL35" s="98"/>
      <c r="FM35" s="98"/>
      <c r="FN35" s="98"/>
      <c r="FO35" s="98"/>
      <c r="FP35" s="9"/>
      <c r="FQ35" s="9"/>
      <c r="FR35" s="9"/>
      <c r="FS35" s="9"/>
      <c r="FT35" s="9"/>
      <c r="FU35" s="9"/>
      <c r="FV35" s="9"/>
      <c r="FW35" s="9"/>
      <c r="FX35" s="9"/>
      <c r="FY35" s="9"/>
      <c r="FZ35" s="9"/>
      <c r="GA35" s="9"/>
      <c r="GB35" s="9"/>
      <c r="GC35" s="9"/>
      <c r="GD35" s="9"/>
      <c r="GE35" s="9"/>
      <c r="GF35" s="9"/>
      <c r="GG35" s="9"/>
      <c r="GH35" s="9"/>
      <c r="GI35" s="9"/>
      <c r="GJ35" s="9"/>
    </row>
    <row r="36" spans="1:192" s="93" customFormat="1" ht="16.5" hidden="1">
      <c r="A36" s="104">
        <f>COUNTA($D$4:D36)</f>
        <v>24</v>
      </c>
      <c r="B36" s="105" t="s">
        <v>40</v>
      </c>
      <c r="C36" s="101" t="s">
        <v>28</v>
      </c>
      <c r="D36" s="106">
        <v>376.4</v>
      </c>
      <c r="E36" s="106">
        <f t="shared" si="6"/>
        <v>200.62119999999996</v>
      </c>
      <c r="F36" s="106">
        <f t="shared" si="7"/>
        <v>175.77879999999999</v>
      </c>
      <c r="G36" s="10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98"/>
      <c r="AI36" s="98"/>
      <c r="AJ36" s="98"/>
      <c r="AK36" s="98"/>
      <c r="AL36" s="98"/>
      <c r="AM36" s="98"/>
      <c r="AN36" s="98"/>
      <c r="AO36" s="98"/>
      <c r="AP36" s="98"/>
      <c r="AQ36" s="98"/>
      <c r="AR36" s="98"/>
      <c r="AS36" s="98"/>
      <c r="AT36" s="98"/>
      <c r="AU36" s="98"/>
      <c r="AV36" s="98"/>
      <c r="AW36" s="98"/>
      <c r="AX36" s="98"/>
      <c r="AY36" s="98"/>
      <c r="AZ36" s="98"/>
      <c r="BA36" s="98"/>
      <c r="BB36" s="98"/>
      <c r="BC36" s="98"/>
      <c r="BD36" s="98"/>
      <c r="BE36" s="98"/>
      <c r="BF36" s="98"/>
      <c r="BG36" s="98"/>
      <c r="BH36" s="98"/>
      <c r="BI36" s="98"/>
      <c r="BJ36" s="98"/>
      <c r="BK36" s="98"/>
      <c r="BL36" s="98"/>
      <c r="BM36" s="98"/>
      <c r="BN36" s="98"/>
      <c r="BO36" s="98"/>
      <c r="BP36" s="98"/>
      <c r="BQ36" s="98"/>
      <c r="BR36" s="98"/>
      <c r="BS36" s="98"/>
      <c r="BT36" s="98"/>
      <c r="BU36" s="98"/>
      <c r="BV36" s="98"/>
      <c r="BW36" s="98"/>
      <c r="BX36" s="98"/>
      <c r="BY36" s="98"/>
      <c r="BZ36" s="98"/>
      <c r="CA36" s="98"/>
      <c r="CB36" s="98"/>
      <c r="CC36" s="98"/>
      <c r="CD36" s="98"/>
      <c r="CE36" s="98"/>
      <c r="CF36" s="98"/>
      <c r="CG36" s="98"/>
      <c r="CH36" s="98"/>
      <c r="CI36" s="98"/>
      <c r="CJ36" s="98"/>
      <c r="CK36" s="98"/>
      <c r="CL36" s="98"/>
      <c r="CM36" s="98"/>
      <c r="CN36" s="98"/>
      <c r="CO36" s="98"/>
      <c r="CP36" s="98"/>
      <c r="CQ36" s="98"/>
      <c r="CR36" s="98"/>
      <c r="CS36" s="98"/>
      <c r="CT36" s="98"/>
      <c r="CU36" s="98"/>
      <c r="CV36" s="98"/>
      <c r="CW36" s="98"/>
      <c r="CX36" s="98"/>
      <c r="CY36" s="98"/>
      <c r="CZ36" s="98"/>
      <c r="DA36" s="98"/>
      <c r="DB36" s="98"/>
      <c r="DC36" s="98"/>
      <c r="DD36" s="98"/>
      <c r="DE36" s="98"/>
      <c r="DF36" s="98"/>
      <c r="DG36" s="98"/>
      <c r="DH36" s="98"/>
      <c r="DI36" s="98"/>
      <c r="DJ36" s="98"/>
      <c r="DK36" s="98"/>
      <c r="DL36" s="98"/>
      <c r="DM36" s="98"/>
      <c r="DN36" s="98"/>
      <c r="DO36" s="98"/>
      <c r="DP36" s="98"/>
      <c r="DQ36" s="98"/>
      <c r="DR36" s="98"/>
      <c r="DS36" s="98"/>
      <c r="DT36" s="98"/>
      <c r="DU36" s="98"/>
      <c r="DV36" s="98"/>
      <c r="DW36" s="98"/>
      <c r="DX36" s="98"/>
      <c r="DY36" s="98"/>
      <c r="DZ36" s="98"/>
      <c r="EA36" s="98"/>
      <c r="EB36" s="98"/>
      <c r="EC36" s="98"/>
      <c r="ED36" s="98"/>
      <c r="EE36" s="98"/>
      <c r="EF36" s="98"/>
      <c r="EG36" s="98"/>
      <c r="EH36" s="98"/>
      <c r="EI36" s="98"/>
      <c r="EJ36" s="98"/>
      <c r="EK36" s="98"/>
      <c r="EL36" s="98"/>
      <c r="EM36" s="98"/>
      <c r="EN36" s="98"/>
      <c r="EO36" s="98"/>
      <c r="EP36" s="98"/>
      <c r="EQ36" s="98"/>
      <c r="ER36" s="98"/>
      <c r="ES36" s="98"/>
      <c r="ET36" s="98"/>
      <c r="EU36" s="98"/>
      <c r="EV36" s="98"/>
      <c r="EW36" s="98"/>
      <c r="EX36" s="98"/>
      <c r="EY36" s="98"/>
      <c r="EZ36" s="98"/>
      <c r="FA36" s="98"/>
      <c r="FB36" s="98"/>
      <c r="FC36" s="98"/>
      <c r="FD36" s="98"/>
      <c r="FE36" s="98"/>
      <c r="FF36" s="98"/>
      <c r="FG36" s="98"/>
      <c r="FH36" s="98"/>
      <c r="FI36" s="98"/>
      <c r="FJ36" s="98"/>
      <c r="FK36" s="98"/>
      <c r="FL36" s="98"/>
      <c r="FM36" s="98"/>
      <c r="FN36" s="98"/>
      <c r="FO36" s="98"/>
      <c r="FP36" s="9"/>
      <c r="FQ36" s="9"/>
      <c r="FR36" s="9"/>
      <c r="FS36" s="9"/>
      <c r="FT36" s="9"/>
      <c r="FU36" s="9"/>
      <c r="FV36" s="9"/>
      <c r="FW36" s="9"/>
      <c r="FX36" s="9"/>
      <c r="FY36" s="9"/>
      <c r="FZ36" s="9"/>
      <c r="GA36" s="9"/>
      <c r="GB36" s="9"/>
      <c r="GC36" s="9"/>
      <c r="GD36" s="9"/>
      <c r="GE36" s="9"/>
      <c r="GF36" s="9"/>
      <c r="GG36" s="9"/>
      <c r="GH36" s="9"/>
      <c r="GI36" s="9"/>
      <c r="GJ36" s="9"/>
    </row>
    <row r="37" spans="1:192" s="93" customFormat="1" ht="16.5" hidden="1">
      <c r="A37" s="104">
        <f>COUNTA($D$4:D37)</f>
        <v>25</v>
      </c>
      <c r="B37" s="105" t="s">
        <v>41</v>
      </c>
      <c r="C37" s="101" t="s">
        <v>28</v>
      </c>
      <c r="D37" s="106">
        <v>7062.57</v>
      </c>
      <c r="E37" s="106">
        <f t="shared" si="6"/>
        <v>3764.3498099999993</v>
      </c>
      <c r="F37" s="106">
        <f t="shared" si="7"/>
        <v>3298.22019</v>
      </c>
      <c r="G37" s="10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c r="BM37" s="98"/>
      <c r="BN37" s="98"/>
      <c r="BO37" s="98"/>
      <c r="BP37" s="98"/>
      <c r="BQ37" s="98"/>
      <c r="BR37" s="98"/>
      <c r="BS37" s="98"/>
      <c r="BT37" s="98"/>
      <c r="BU37" s="98"/>
      <c r="BV37" s="98"/>
      <c r="BW37" s="98"/>
      <c r="BX37" s="98"/>
      <c r="BY37" s="98"/>
      <c r="BZ37" s="98"/>
      <c r="CA37" s="98"/>
      <c r="CB37" s="98"/>
      <c r="CC37" s="98"/>
      <c r="CD37" s="98"/>
      <c r="CE37" s="98"/>
      <c r="CF37" s="98"/>
      <c r="CG37" s="98"/>
      <c r="CH37" s="98"/>
      <c r="CI37" s="98"/>
      <c r="CJ37" s="98"/>
      <c r="CK37" s="98"/>
      <c r="CL37" s="98"/>
      <c r="CM37" s="98"/>
      <c r="CN37" s="98"/>
      <c r="CO37" s="98"/>
      <c r="CP37" s="98"/>
      <c r="CQ37" s="98"/>
      <c r="CR37" s="98"/>
      <c r="CS37" s="98"/>
      <c r="CT37" s="98"/>
      <c r="CU37" s="98"/>
      <c r="CV37" s="98"/>
      <c r="CW37" s="98"/>
      <c r="CX37" s="98"/>
      <c r="CY37" s="98"/>
      <c r="CZ37" s="98"/>
      <c r="DA37" s="98"/>
      <c r="DB37" s="98"/>
      <c r="DC37" s="98"/>
      <c r="DD37" s="98"/>
      <c r="DE37" s="98"/>
      <c r="DF37" s="98"/>
      <c r="DG37" s="98"/>
      <c r="DH37" s="98"/>
      <c r="DI37" s="98"/>
      <c r="DJ37" s="98"/>
      <c r="DK37" s="98"/>
      <c r="DL37" s="98"/>
      <c r="DM37" s="98"/>
      <c r="DN37" s="98"/>
      <c r="DO37" s="98"/>
      <c r="DP37" s="98"/>
      <c r="DQ37" s="98"/>
      <c r="DR37" s="98"/>
      <c r="DS37" s="98"/>
      <c r="DT37" s="98"/>
      <c r="DU37" s="98"/>
      <c r="DV37" s="98"/>
      <c r="DW37" s="98"/>
      <c r="DX37" s="98"/>
      <c r="DY37" s="98"/>
      <c r="DZ37" s="98"/>
      <c r="EA37" s="98"/>
      <c r="EB37" s="98"/>
      <c r="EC37" s="98"/>
      <c r="ED37" s="98"/>
      <c r="EE37" s="98"/>
      <c r="EF37" s="98"/>
      <c r="EG37" s="98"/>
      <c r="EH37" s="98"/>
      <c r="EI37" s="98"/>
      <c r="EJ37" s="98"/>
      <c r="EK37" s="98"/>
      <c r="EL37" s="98"/>
      <c r="EM37" s="98"/>
      <c r="EN37" s="98"/>
      <c r="EO37" s="98"/>
      <c r="EP37" s="98"/>
      <c r="EQ37" s="98"/>
      <c r="ER37" s="98"/>
      <c r="ES37" s="98"/>
      <c r="ET37" s="98"/>
      <c r="EU37" s="98"/>
      <c r="EV37" s="98"/>
      <c r="EW37" s="98"/>
      <c r="EX37" s="98"/>
      <c r="EY37" s="98"/>
      <c r="EZ37" s="98"/>
      <c r="FA37" s="98"/>
      <c r="FB37" s="98"/>
      <c r="FC37" s="98"/>
      <c r="FD37" s="98"/>
      <c r="FE37" s="98"/>
      <c r="FF37" s="98"/>
      <c r="FG37" s="98"/>
      <c r="FH37" s="98"/>
      <c r="FI37" s="98"/>
      <c r="FJ37" s="98"/>
      <c r="FK37" s="98"/>
      <c r="FL37" s="98"/>
      <c r="FM37" s="98"/>
      <c r="FN37" s="98"/>
      <c r="FO37" s="98"/>
      <c r="FP37" s="9"/>
      <c r="FQ37" s="9"/>
      <c r="FR37" s="9"/>
      <c r="FS37" s="9"/>
      <c r="FT37" s="9"/>
      <c r="FU37" s="9"/>
      <c r="FV37" s="9"/>
      <c r="FW37" s="9"/>
      <c r="FX37" s="9"/>
      <c r="FY37" s="9"/>
      <c r="FZ37" s="9"/>
      <c r="GA37" s="9"/>
      <c r="GB37" s="9"/>
      <c r="GC37" s="9"/>
      <c r="GD37" s="9"/>
      <c r="GE37" s="9"/>
      <c r="GF37" s="9"/>
      <c r="GG37" s="9"/>
      <c r="GH37" s="9"/>
      <c r="GI37" s="9"/>
      <c r="GJ37" s="9"/>
    </row>
    <row r="38" spans="1:192" s="93" customFormat="1" ht="31.5" hidden="1">
      <c r="A38" s="104">
        <f>COUNTA($D$4:D38)</f>
        <v>26</v>
      </c>
      <c r="B38" s="105" t="s">
        <v>42</v>
      </c>
      <c r="C38" s="101" t="s">
        <v>12</v>
      </c>
      <c r="D38" s="106">
        <v>1605.3979999999999</v>
      </c>
      <c r="E38" s="106">
        <f t="shared" si="6"/>
        <v>855.6771339999998</v>
      </c>
      <c r="F38" s="106">
        <f t="shared" si="7"/>
        <v>749.720866</v>
      </c>
      <c r="G38" s="10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c r="BM38" s="98"/>
      <c r="BN38" s="98"/>
      <c r="BO38" s="98"/>
      <c r="BP38" s="98"/>
      <c r="BQ38" s="98"/>
      <c r="BR38" s="98"/>
      <c r="BS38" s="98"/>
      <c r="BT38" s="98"/>
      <c r="BU38" s="98"/>
      <c r="BV38" s="98"/>
      <c r="BW38" s="98"/>
      <c r="BX38" s="98"/>
      <c r="BY38" s="98"/>
      <c r="BZ38" s="98"/>
      <c r="CA38" s="98"/>
      <c r="CB38" s="98"/>
      <c r="CC38" s="98"/>
      <c r="CD38" s="98"/>
      <c r="CE38" s="98"/>
      <c r="CF38" s="98"/>
      <c r="CG38" s="98"/>
      <c r="CH38" s="98"/>
      <c r="CI38" s="98"/>
      <c r="CJ38" s="98"/>
      <c r="CK38" s="98"/>
      <c r="CL38" s="98"/>
      <c r="CM38" s="98"/>
      <c r="CN38" s="98"/>
      <c r="CO38" s="98"/>
      <c r="CP38" s="98"/>
      <c r="CQ38" s="98"/>
      <c r="CR38" s="98"/>
      <c r="CS38" s="98"/>
      <c r="CT38" s="98"/>
      <c r="CU38" s="98"/>
      <c r="CV38" s="98"/>
      <c r="CW38" s="98"/>
      <c r="CX38" s="98"/>
      <c r="CY38" s="98"/>
      <c r="CZ38" s="98"/>
      <c r="DA38" s="98"/>
      <c r="DB38" s="98"/>
      <c r="DC38" s="98"/>
      <c r="DD38" s="98"/>
      <c r="DE38" s="98"/>
      <c r="DF38" s="98"/>
      <c r="DG38" s="98"/>
      <c r="DH38" s="98"/>
      <c r="DI38" s="98"/>
      <c r="DJ38" s="98"/>
      <c r="DK38" s="98"/>
      <c r="DL38" s="98"/>
      <c r="DM38" s="98"/>
      <c r="DN38" s="98"/>
      <c r="DO38" s="98"/>
      <c r="DP38" s="98"/>
      <c r="DQ38" s="98"/>
      <c r="DR38" s="98"/>
      <c r="DS38" s="98"/>
      <c r="DT38" s="98"/>
      <c r="DU38" s="98"/>
      <c r="DV38" s="98"/>
      <c r="DW38" s="98"/>
      <c r="DX38" s="98"/>
      <c r="DY38" s="98"/>
      <c r="DZ38" s="98"/>
      <c r="EA38" s="98"/>
      <c r="EB38" s="98"/>
      <c r="EC38" s="98"/>
      <c r="ED38" s="98"/>
      <c r="EE38" s="98"/>
      <c r="EF38" s="98"/>
      <c r="EG38" s="98"/>
      <c r="EH38" s="98"/>
      <c r="EI38" s="98"/>
      <c r="EJ38" s="98"/>
      <c r="EK38" s="98"/>
      <c r="EL38" s="98"/>
      <c r="EM38" s="98"/>
      <c r="EN38" s="98"/>
      <c r="EO38" s="98"/>
      <c r="EP38" s="98"/>
      <c r="EQ38" s="98"/>
      <c r="ER38" s="98"/>
      <c r="ES38" s="98"/>
      <c r="ET38" s="98"/>
      <c r="EU38" s="98"/>
      <c r="EV38" s="98"/>
      <c r="EW38" s="98"/>
      <c r="EX38" s="98"/>
      <c r="EY38" s="98"/>
      <c r="EZ38" s="98"/>
      <c r="FA38" s="98"/>
      <c r="FB38" s="98"/>
      <c r="FC38" s="98"/>
      <c r="FD38" s="98"/>
      <c r="FE38" s="98"/>
      <c r="FF38" s="98"/>
      <c r="FG38" s="98"/>
      <c r="FH38" s="98"/>
      <c r="FI38" s="98"/>
      <c r="FJ38" s="98"/>
      <c r="FK38" s="98"/>
      <c r="FL38" s="98"/>
      <c r="FM38" s="98"/>
      <c r="FN38" s="98"/>
      <c r="FO38" s="98"/>
      <c r="FP38" s="9"/>
      <c r="FQ38" s="9"/>
      <c r="FR38" s="9"/>
      <c r="FS38" s="9"/>
      <c r="FT38" s="9"/>
      <c r="FU38" s="9"/>
      <c r="FV38" s="9"/>
      <c r="FW38" s="9"/>
      <c r="FX38" s="9"/>
      <c r="FY38" s="9"/>
      <c r="FZ38" s="9"/>
      <c r="GA38" s="9"/>
      <c r="GB38" s="9"/>
      <c r="GC38" s="9"/>
      <c r="GD38" s="9"/>
      <c r="GE38" s="9"/>
      <c r="GF38" s="9"/>
      <c r="GG38" s="9"/>
      <c r="GH38" s="9"/>
      <c r="GI38" s="9"/>
      <c r="GJ38" s="9"/>
    </row>
    <row r="39" spans="1:192" s="93" customFormat="1" ht="16.5" hidden="1">
      <c r="A39" s="104" t="s">
        <v>148</v>
      </c>
      <c r="B39" s="100" t="s">
        <v>43</v>
      </c>
      <c r="C39" s="101"/>
      <c r="D39" s="106"/>
      <c r="E39" s="106">
        <f t="shared" si="6"/>
        <v>0</v>
      </c>
      <c r="F39" s="106">
        <f t="shared" si="7"/>
        <v>0</v>
      </c>
      <c r="G39" s="103"/>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c r="BB39" s="98"/>
      <c r="BC39" s="98"/>
      <c r="BD39" s="98"/>
      <c r="BE39" s="98"/>
      <c r="BF39" s="98"/>
      <c r="BG39" s="98"/>
      <c r="BH39" s="98"/>
      <c r="BI39" s="98"/>
      <c r="BJ39" s="98"/>
      <c r="BK39" s="98"/>
      <c r="BL39" s="98"/>
      <c r="BM39" s="98"/>
      <c r="BN39" s="98"/>
      <c r="BO39" s="98"/>
      <c r="BP39" s="98"/>
      <c r="BQ39" s="98"/>
      <c r="BR39" s="98"/>
      <c r="BS39" s="98"/>
      <c r="BT39" s="98"/>
      <c r="BU39" s="98"/>
      <c r="BV39" s="98"/>
      <c r="BW39" s="98"/>
      <c r="BX39" s="98"/>
      <c r="BY39" s="98"/>
      <c r="BZ39" s="98"/>
      <c r="CA39" s="98"/>
      <c r="CB39" s="98"/>
      <c r="CC39" s="98"/>
      <c r="CD39" s="98"/>
      <c r="CE39" s="98"/>
      <c r="CF39" s="98"/>
      <c r="CG39" s="98"/>
      <c r="CH39" s="98"/>
      <c r="CI39" s="98"/>
      <c r="CJ39" s="98"/>
      <c r="CK39" s="98"/>
      <c r="CL39" s="98"/>
      <c r="CM39" s="98"/>
      <c r="CN39" s="98"/>
      <c r="CO39" s="98"/>
      <c r="CP39" s="98"/>
      <c r="CQ39" s="98"/>
      <c r="CR39" s="98"/>
      <c r="CS39" s="98"/>
      <c r="CT39" s="98"/>
      <c r="CU39" s="98"/>
      <c r="CV39" s="98"/>
      <c r="CW39" s="98"/>
      <c r="CX39" s="98"/>
      <c r="CY39" s="98"/>
      <c r="CZ39" s="98"/>
      <c r="DA39" s="98"/>
      <c r="DB39" s="98"/>
      <c r="DC39" s="98"/>
      <c r="DD39" s="98"/>
      <c r="DE39" s="98"/>
      <c r="DF39" s="98"/>
      <c r="DG39" s="98"/>
      <c r="DH39" s="98"/>
      <c r="DI39" s="98"/>
      <c r="DJ39" s="98"/>
      <c r="DK39" s="98"/>
      <c r="DL39" s="98"/>
      <c r="DM39" s="98"/>
      <c r="DN39" s="98"/>
      <c r="DO39" s="98"/>
      <c r="DP39" s="98"/>
      <c r="DQ39" s="98"/>
      <c r="DR39" s="98"/>
      <c r="DS39" s="98"/>
      <c r="DT39" s="98"/>
      <c r="DU39" s="98"/>
      <c r="DV39" s="98"/>
      <c r="DW39" s="98"/>
      <c r="DX39" s="98"/>
      <c r="DY39" s="98"/>
      <c r="DZ39" s="98"/>
      <c r="EA39" s="98"/>
      <c r="EB39" s="98"/>
      <c r="EC39" s="98"/>
      <c r="ED39" s="98"/>
      <c r="EE39" s="98"/>
      <c r="EF39" s="98"/>
      <c r="EG39" s="98"/>
      <c r="EH39" s="98"/>
      <c r="EI39" s="98"/>
      <c r="EJ39" s="98"/>
      <c r="EK39" s="98"/>
      <c r="EL39" s="98"/>
      <c r="EM39" s="98"/>
      <c r="EN39" s="98"/>
      <c r="EO39" s="98"/>
      <c r="EP39" s="98"/>
      <c r="EQ39" s="98"/>
      <c r="ER39" s="98"/>
      <c r="ES39" s="98"/>
      <c r="ET39" s="98"/>
      <c r="EU39" s="98"/>
      <c r="EV39" s="98"/>
      <c r="EW39" s="98"/>
      <c r="EX39" s="98"/>
      <c r="EY39" s="98"/>
      <c r="EZ39" s="98"/>
      <c r="FA39" s="98"/>
      <c r="FB39" s="98"/>
      <c r="FC39" s="98"/>
      <c r="FD39" s="98"/>
      <c r="FE39" s="98"/>
      <c r="FF39" s="98"/>
      <c r="FG39" s="98"/>
      <c r="FH39" s="98"/>
      <c r="FI39" s="98"/>
      <c r="FJ39" s="98"/>
      <c r="FK39" s="98"/>
      <c r="FL39" s="98"/>
      <c r="FM39" s="98"/>
      <c r="FN39" s="98"/>
      <c r="FO39" s="98"/>
      <c r="FP39" s="9"/>
      <c r="FQ39" s="9"/>
      <c r="FR39" s="9"/>
      <c r="FS39" s="9"/>
      <c r="FT39" s="9"/>
      <c r="FU39" s="9"/>
      <c r="FV39" s="9"/>
      <c r="FW39" s="9"/>
      <c r="FX39" s="9"/>
      <c r="FY39" s="9"/>
      <c r="FZ39" s="9"/>
      <c r="GA39" s="9"/>
      <c r="GB39" s="9"/>
      <c r="GC39" s="9"/>
      <c r="GD39" s="9"/>
      <c r="GE39" s="9"/>
      <c r="GF39" s="9"/>
      <c r="GG39" s="9"/>
      <c r="GH39" s="9"/>
      <c r="GI39" s="9"/>
      <c r="GJ39" s="9"/>
    </row>
    <row r="40" spans="1:192" s="93" customFormat="1" ht="16.5" hidden="1">
      <c r="A40" s="104">
        <f>COUNTA($D$4:D40)</f>
        <v>27</v>
      </c>
      <c r="B40" s="105" t="s">
        <v>44</v>
      </c>
      <c r="C40" s="101" t="s">
        <v>12</v>
      </c>
      <c r="D40" s="106">
        <v>20823.249619999999</v>
      </c>
      <c r="E40" s="106">
        <f t="shared" si="6"/>
        <v>11098.792047459998</v>
      </c>
      <c r="F40" s="106">
        <f t="shared" si="7"/>
        <v>9724.4575725399991</v>
      </c>
      <c r="G40" s="108"/>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98"/>
      <c r="CL40" s="98"/>
      <c r="CM40" s="98"/>
      <c r="CN40" s="98"/>
      <c r="CO40" s="98"/>
      <c r="CP40" s="98"/>
      <c r="CQ40" s="98"/>
      <c r="CR40" s="98"/>
      <c r="CS40" s="98"/>
      <c r="CT40" s="98"/>
      <c r="CU40" s="98"/>
      <c r="CV40" s="98"/>
      <c r="CW40" s="98"/>
      <c r="CX40" s="98"/>
      <c r="CY40" s="98"/>
      <c r="CZ40" s="98"/>
      <c r="DA40" s="98"/>
      <c r="DB40" s="98"/>
      <c r="DC40" s="98"/>
      <c r="DD40" s="98"/>
      <c r="DE40" s="98"/>
      <c r="DF40" s="98"/>
      <c r="DG40" s="98"/>
      <c r="DH40" s="98"/>
      <c r="DI40" s="98"/>
      <c r="DJ40" s="98"/>
      <c r="DK40" s="98"/>
      <c r="DL40" s="98"/>
      <c r="DM40" s="98"/>
      <c r="DN40" s="98"/>
      <c r="DO40" s="98"/>
      <c r="DP40" s="98"/>
      <c r="DQ40" s="98"/>
      <c r="DR40" s="98"/>
      <c r="DS40" s="98"/>
      <c r="DT40" s="98"/>
      <c r="DU40" s="98"/>
      <c r="DV40" s="98"/>
      <c r="DW40" s="98"/>
      <c r="DX40" s="98"/>
      <c r="DY40" s="98"/>
      <c r="DZ40" s="98"/>
      <c r="EA40" s="98"/>
      <c r="EB40" s="98"/>
      <c r="EC40" s="98"/>
      <c r="ED40" s="98"/>
      <c r="EE40" s="98"/>
      <c r="EF40" s="98"/>
      <c r="EG40" s="98"/>
      <c r="EH40" s="98"/>
      <c r="EI40" s="98"/>
      <c r="EJ40" s="98"/>
      <c r="EK40" s="98"/>
      <c r="EL40" s="98"/>
      <c r="EM40" s="98"/>
      <c r="EN40" s="98"/>
      <c r="EO40" s="98"/>
      <c r="EP40" s="98"/>
      <c r="EQ40" s="98"/>
      <c r="ER40" s="98"/>
      <c r="ES40" s="98"/>
      <c r="ET40" s="98"/>
      <c r="EU40" s="98"/>
      <c r="EV40" s="98"/>
      <c r="EW40" s="98"/>
      <c r="EX40" s="98"/>
      <c r="EY40" s="98"/>
      <c r="EZ40" s="98"/>
      <c r="FA40" s="98"/>
      <c r="FB40" s="98"/>
      <c r="FC40" s="98"/>
      <c r="FD40" s="98"/>
      <c r="FE40" s="98"/>
      <c r="FF40" s="98"/>
      <c r="FG40" s="98"/>
      <c r="FH40" s="98"/>
      <c r="FI40" s="98"/>
      <c r="FJ40" s="98"/>
      <c r="FK40" s="98"/>
      <c r="FL40" s="98"/>
      <c r="FM40" s="98"/>
      <c r="FN40" s="98"/>
      <c r="FO40" s="98"/>
      <c r="FP40" s="9"/>
      <c r="FQ40" s="9"/>
      <c r="FR40" s="9"/>
      <c r="FS40" s="9"/>
      <c r="FT40" s="9"/>
      <c r="FU40" s="9"/>
      <c r="FV40" s="9"/>
      <c r="FW40" s="9"/>
      <c r="FX40" s="9"/>
      <c r="FY40" s="9"/>
      <c r="FZ40" s="9"/>
      <c r="GA40" s="9"/>
      <c r="GB40" s="9"/>
      <c r="GC40" s="9"/>
      <c r="GD40" s="9"/>
      <c r="GE40" s="9"/>
      <c r="GF40" s="9"/>
      <c r="GG40" s="9"/>
      <c r="GH40" s="9"/>
      <c r="GI40" s="9"/>
      <c r="GJ40" s="9"/>
    </row>
    <row r="41" spans="1:192" s="93" customFormat="1" ht="31.5" hidden="1">
      <c r="A41" s="104">
        <f>COUNTA($D$4:D41)</f>
        <v>28</v>
      </c>
      <c r="B41" s="105" t="s">
        <v>45</v>
      </c>
      <c r="C41" s="101" t="s">
        <v>12</v>
      </c>
      <c r="D41" s="106">
        <v>6263.4604999999974</v>
      </c>
      <c r="E41" s="106">
        <f t="shared" si="6"/>
        <v>3338.4244464999979</v>
      </c>
      <c r="F41" s="106">
        <f t="shared" si="7"/>
        <v>2925.0360534999991</v>
      </c>
      <c r="G41" s="108"/>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8"/>
      <c r="BM41" s="98"/>
      <c r="BN41" s="98"/>
      <c r="BO41" s="98"/>
      <c r="BP41" s="98"/>
      <c r="BQ41" s="98"/>
      <c r="BR41" s="98"/>
      <c r="BS41" s="98"/>
      <c r="BT41" s="98"/>
      <c r="BU41" s="98"/>
      <c r="BV41" s="98"/>
      <c r="BW41" s="98"/>
      <c r="BX41" s="98"/>
      <c r="BY41" s="98"/>
      <c r="BZ41" s="98"/>
      <c r="CA41" s="98"/>
      <c r="CB41" s="98"/>
      <c r="CC41" s="98"/>
      <c r="CD41" s="98"/>
      <c r="CE41" s="98"/>
      <c r="CF41" s="98"/>
      <c r="CG41" s="98"/>
      <c r="CH41" s="98"/>
      <c r="CI41" s="98"/>
      <c r="CJ41" s="98"/>
      <c r="CK41" s="98"/>
      <c r="CL41" s="98"/>
      <c r="CM41" s="98"/>
      <c r="CN41" s="98"/>
      <c r="CO41" s="98"/>
      <c r="CP41" s="98"/>
      <c r="CQ41" s="98"/>
      <c r="CR41" s="98"/>
      <c r="CS41" s="98"/>
      <c r="CT41" s="98"/>
      <c r="CU41" s="98"/>
      <c r="CV41" s="98"/>
      <c r="CW41" s="98"/>
      <c r="CX41" s="98"/>
      <c r="CY41" s="98"/>
      <c r="CZ41" s="98"/>
      <c r="DA41" s="98"/>
      <c r="DB41" s="98"/>
      <c r="DC41" s="98"/>
      <c r="DD41" s="98"/>
      <c r="DE41" s="98"/>
      <c r="DF41" s="98"/>
      <c r="DG41" s="98"/>
      <c r="DH41" s="98"/>
      <c r="DI41" s="98"/>
      <c r="DJ41" s="98"/>
      <c r="DK41" s="98"/>
      <c r="DL41" s="98"/>
      <c r="DM41" s="98"/>
      <c r="DN41" s="98"/>
      <c r="DO41" s="98"/>
      <c r="DP41" s="98"/>
      <c r="DQ41" s="98"/>
      <c r="DR41" s="98"/>
      <c r="DS41" s="98"/>
      <c r="DT41" s="98"/>
      <c r="DU41" s="98"/>
      <c r="DV41" s="98"/>
      <c r="DW41" s="98"/>
      <c r="DX41" s="98"/>
      <c r="DY41" s="98"/>
      <c r="DZ41" s="98"/>
      <c r="EA41" s="98"/>
      <c r="EB41" s="98"/>
      <c r="EC41" s="98"/>
      <c r="ED41" s="98"/>
      <c r="EE41" s="98"/>
      <c r="EF41" s="98"/>
      <c r="EG41" s="98"/>
      <c r="EH41" s="98"/>
      <c r="EI41" s="98"/>
      <c r="EJ41" s="98"/>
      <c r="EK41" s="98"/>
      <c r="EL41" s="98"/>
      <c r="EM41" s="98"/>
      <c r="EN41" s="98"/>
      <c r="EO41" s="98"/>
      <c r="EP41" s="98"/>
      <c r="EQ41" s="98"/>
      <c r="ER41" s="98"/>
      <c r="ES41" s="98"/>
      <c r="ET41" s="98"/>
      <c r="EU41" s="98"/>
      <c r="EV41" s="98"/>
      <c r="EW41" s="98"/>
      <c r="EX41" s="98"/>
      <c r="EY41" s="98"/>
      <c r="EZ41" s="98"/>
      <c r="FA41" s="98"/>
      <c r="FB41" s="98"/>
      <c r="FC41" s="98"/>
      <c r="FD41" s="98"/>
      <c r="FE41" s="98"/>
      <c r="FF41" s="98"/>
      <c r="FG41" s="98"/>
      <c r="FH41" s="98"/>
      <c r="FI41" s="98"/>
      <c r="FJ41" s="98"/>
      <c r="FK41" s="98"/>
      <c r="FL41" s="98"/>
      <c r="FM41" s="98"/>
      <c r="FN41" s="98"/>
      <c r="FO41" s="98"/>
      <c r="FP41" s="9"/>
      <c r="FQ41" s="9"/>
      <c r="FR41" s="9"/>
      <c r="FS41" s="9"/>
      <c r="FT41" s="9"/>
      <c r="FU41" s="9"/>
      <c r="FV41" s="9"/>
      <c r="FW41" s="9"/>
      <c r="FX41" s="9"/>
      <c r="FY41" s="9"/>
      <c r="FZ41" s="9"/>
      <c r="GA41" s="9"/>
      <c r="GB41" s="9"/>
      <c r="GC41" s="9"/>
      <c r="GD41" s="9"/>
      <c r="GE41" s="9"/>
      <c r="GF41" s="9"/>
      <c r="GG41" s="9"/>
      <c r="GH41" s="9"/>
      <c r="GI41" s="9"/>
      <c r="GJ41" s="9"/>
    </row>
    <row r="42" spans="1:192" s="93" customFormat="1" ht="16.5" hidden="1">
      <c r="A42" s="104">
        <f>COUNTA($D$4:D42)</f>
        <v>29</v>
      </c>
      <c r="B42" s="105" t="s">
        <v>46</v>
      </c>
      <c r="C42" s="101" t="s">
        <v>12</v>
      </c>
      <c r="D42" s="106">
        <v>16434.874900000003</v>
      </c>
      <c r="E42" s="106">
        <f t="shared" si="6"/>
        <v>8759.7883216999999</v>
      </c>
      <c r="F42" s="106">
        <f t="shared" si="7"/>
        <v>7675.0865783000017</v>
      </c>
      <c r="G42" s="10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8"/>
      <c r="BM42" s="98"/>
      <c r="BN42" s="98"/>
      <c r="BO42" s="98"/>
      <c r="BP42" s="98"/>
      <c r="BQ42" s="98"/>
      <c r="BR42" s="98"/>
      <c r="BS42" s="98"/>
      <c r="BT42" s="98"/>
      <c r="BU42" s="98"/>
      <c r="BV42" s="98"/>
      <c r="BW42" s="98"/>
      <c r="BX42" s="98"/>
      <c r="BY42" s="98"/>
      <c r="BZ42" s="98"/>
      <c r="CA42" s="98"/>
      <c r="CB42" s="98"/>
      <c r="CC42" s="98"/>
      <c r="CD42" s="98"/>
      <c r="CE42" s="98"/>
      <c r="CF42" s="98"/>
      <c r="CG42" s="98"/>
      <c r="CH42" s="98"/>
      <c r="CI42" s="98"/>
      <c r="CJ42" s="98"/>
      <c r="CK42" s="98"/>
      <c r="CL42" s="98"/>
      <c r="CM42" s="98"/>
      <c r="CN42" s="98"/>
      <c r="CO42" s="98"/>
      <c r="CP42" s="98"/>
      <c r="CQ42" s="98"/>
      <c r="CR42" s="98"/>
      <c r="CS42" s="98"/>
      <c r="CT42" s="98"/>
      <c r="CU42" s="98"/>
      <c r="CV42" s="98"/>
      <c r="CW42" s="98"/>
      <c r="CX42" s="98"/>
      <c r="CY42" s="98"/>
      <c r="CZ42" s="98"/>
      <c r="DA42" s="98"/>
      <c r="DB42" s="98"/>
      <c r="DC42" s="98"/>
      <c r="DD42" s="98"/>
      <c r="DE42" s="98"/>
      <c r="DF42" s="98"/>
      <c r="DG42" s="98"/>
      <c r="DH42" s="98"/>
      <c r="DI42" s="98"/>
      <c r="DJ42" s="98"/>
      <c r="DK42" s="98"/>
      <c r="DL42" s="98"/>
      <c r="DM42" s="98"/>
      <c r="DN42" s="98"/>
      <c r="DO42" s="98"/>
      <c r="DP42" s="98"/>
      <c r="DQ42" s="98"/>
      <c r="DR42" s="98"/>
      <c r="DS42" s="98"/>
      <c r="DT42" s="98"/>
      <c r="DU42" s="98"/>
      <c r="DV42" s="98"/>
      <c r="DW42" s="98"/>
      <c r="DX42" s="98"/>
      <c r="DY42" s="98"/>
      <c r="DZ42" s="98"/>
      <c r="EA42" s="98"/>
      <c r="EB42" s="98"/>
      <c r="EC42" s="98"/>
      <c r="ED42" s="98"/>
      <c r="EE42" s="98"/>
      <c r="EF42" s="98"/>
      <c r="EG42" s="98"/>
      <c r="EH42" s="98"/>
      <c r="EI42" s="98"/>
      <c r="EJ42" s="98"/>
      <c r="EK42" s="98"/>
      <c r="EL42" s="98"/>
      <c r="EM42" s="98"/>
      <c r="EN42" s="98"/>
      <c r="EO42" s="98"/>
      <c r="EP42" s="98"/>
      <c r="EQ42" s="98"/>
      <c r="ER42" s="98"/>
      <c r="ES42" s="98"/>
      <c r="ET42" s="98"/>
      <c r="EU42" s="98"/>
      <c r="EV42" s="98"/>
      <c r="EW42" s="98"/>
      <c r="EX42" s="98"/>
      <c r="EY42" s="98"/>
      <c r="EZ42" s="98"/>
      <c r="FA42" s="98"/>
      <c r="FB42" s="98"/>
      <c r="FC42" s="98"/>
      <c r="FD42" s="98"/>
      <c r="FE42" s="98"/>
      <c r="FF42" s="98"/>
      <c r="FG42" s="98"/>
      <c r="FH42" s="98"/>
      <c r="FI42" s="98"/>
      <c r="FJ42" s="98"/>
      <c r="FK42" s="98"/>
      <c r="FL42" s="98"/>
      <c r="FM42" s="98"/>
      <c r="FN42" s="98"/>
      <c r="FO42" s="98"/>
      <c r="FP42" s="9"/>
      <c r="FQ42" s="9"/>
      <c r="FR42" s="9"/>
      <c r="FS42" s="9"/>
      <c r="FT42" s="9"/>
      <c r="FU42" s="9"/>
      <c r="FV42" s="9"/>
      <c r="FW42" s="9"/>
      <c r="FX42" s="9"/>
      <c r="FY42" s="9"/>
      <c r="FZ42" s="9"/>
      <c r="GA42" s="9"/>
      <c r="GB42" s="9"/>
      <c r="GC42" s="9"/>
      <c r="GD42" s="9"/>
      <c r="GE42" s="9"/>
      <c r="GF42" s="9"/>
      <c r="GG42" s="9"/>
      <c r="GH42" s="9"/>
      <c r="GI42" s="9"/>
      <c r="GJ42" s="9"/>
    </row>
    <row r="43" spans="1:192" s="93" customFormat="1" ht="16.5" hidden="1">
      <c r="A43" s="104">
        <f>COUNTA($D$4:D43)</f>
        <v>30</v>
      </c>
      <c r="B43" s="105" t="s">
        <v>47</v>
      </c>
      <c r="C43" s="101" t="s">
        <v>12</v>
      </c>
      <c r="D43" s="106">
        <v>508.06549999999993</v>
      </c>
      <c r="E43" s="106">
        <f t="shared" si="6"/>
        <v>270.79891149999992</v>
      </c>
      <c r="F43" s="106">
        <f t="shared" si="7"/>
        <v>237.26658849999998</v>
      </c>
      <c r="G43" s="108"/>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
      <c r="FQ43" s="9"/>
      <c r="FR43" s="9"/>
      <c r="FS43" s="9"/>
      <c r="FT43" s="9"/>
      <c r="FU43" s="9"/>
      <c r="FV43" s="9"/>
      <c r="FW43" s="9"/>
      <c r="FX43" s="9"/>
      <c r="FY43" s="9"/>
      <c r="FZ43" s="9"/>
      <c r="GA43" s="9"/>
      <c r="GB43" s="9"/>
      <c r="GC43" s="9"/>
      <c r="GD43" s="9"/>
      <c r="GE43" s="9"/>
      <c r="GF43" s="9"/>
      <c r="GG43" s="9"/>
      <c r="GH43" s="9"/>
      <c r="GI43" s="9"/>
      <c r="GJ43" s="9"/>
    </row>
    <row r="44" spans="1:192" s="93" customFormat="1" ht="16.5" hidden="1">
      <c r="A44" s="104">
        <f>COUNTA($D$4:D44)</f>
        <v>31</v>
      </c>
      <c r="B44" s="105" t="s">
        <v>48</v>
      </c>
      <c r="C44" s="101" t="s">
        <v>12</v>
      </c>
      <c r="D44" s="106">
        <v>4403.7433999999994</v>
      </c>
      <c r="E44" s="106">
        <f t="shared" si="6"/>
        <v>2347.1952321999993</v>
      </c>
      <c r="F44" s="106">
        <f t="shared" si="7"/>
        <v>2056.5481677999996</v>
      </c>
      <c r="G44" s="108"/>
      <c r="H44" s="98"/>
      <c r="I44" s="98"/>
      <c r="J44" s="98"/>
      <c r="K44" s="98"/>
      <c r="L44" s="98"/>
      <c r="M44" s="98"/>
      <c r="N44" s="98"/>
      <c r="O44" s="98"/>
      <c r="P44" s="98"/>
      <c r="Q44" s="98"/>
      <c r="R44" s="98"/>
      <c r="S44" s="98"/>
      <c r="T44" s="98"/>
      <c r="U44" s="98"/>
      <c r="V44" s="98"/>
      <c r="W44" s="98"/>
      <c r="X44" s="98"/>
      <c r="Y44" s="98"/>
      <c r="Z44" s="98"/>
      <c r="AA44" s="98"/>
      <c r="AB44" s="98"/>
      <c r="AC44" s="98"/>
      <c r="AD44" s="98"/>
      <c r="AE44" s="98"/>
      <c r="AF44" s="98"/>
      <c r="AG44" s="98"/>
      <c r="AH44" s="98"/>
      <c r="AI44" s="98"/>
      <c r="AJ44" s="98"/>
      <c r="AK44" s="98"/>
      <c r="AL44" s="98"/>
      <c r="AM44" s="98"/>
      <c r="AN44" s="98"/>
      <c r="AO44" s="98"/>
      <c r="AP44" s="98"/>
      <c r="AQ44" s="98"/>
      <c r="AR44" s="98"/>
      <c r="AS44" s="98"/>
      <c r="AT44" s="98"/>
      <c r="AU44" s="98"/>
      <c r="AV44" s="98"/>
      <c r="AW44" s="98"/>
      <c r="AX44" s="98"/>
      <c r="AY44" s="98"/>
      <c r="AZ44" s="98"/>
      <c r="BA44" s="98"/>
      <c r="BB44" s="98"/>
      <c r="BC44" s="98"/>
      <c r="BD44" s="98"/>
      <c r="BE44" s="98"/>
      <c r="BF44" s="98"/>
      <c r="BG44" s="98"/>
      <c r="BH44" s="98"/>
      <c r="BI44" s="98"/>
      <c r="BJ44" s="98"/>
      <c r="BK44" s="98"/>
      <c r="BL44" s="98"/>
      <c r="BM44" s="98"/>
      <c r="BN44" s="98"/>
      <c r="BO44" s="98"/>
      <c r="BP44" s="98"/>
      <c r="BQ44" s="98"/>
      <c r="BR44" s="98"/>
      <c r="BS44" s="98"/>
      <c r="BT44" s="98"/>
      <c r="BU44" s="98"/>
      <c r="BV44" s="98"/>
      <c r="BW44" s="98"/>
      <c r="BX44" s="98"/>
      <c r="BY44" s="98"/>
      <c r="BZ44" s="98"/>
      <c r="CA44" s="98"/>
      <c r="CB44" s="98"/>
      <c r="CC44" s="98"/>
      <c r="CD44" s="98"/>
      <c r="CE44" s="98"/>
      <c r="CF44" s="98"/>
      <c r="CG44" s="98"/>
      <c r="CH44" s="98"/>
      <c r="CI44" s="98"/>
      <c r="CJ44" s="98"/>
      <c r="CK44" s="98"/>
      <c r="CL44" s="98"/>
      <c r="CM44" s="98"/>
      <c r="CN44" s="98"/>
      <c r="CO44" s="98"/>
      <c r="CP44" s="98"/>
      <c r="CQ44" s="98"/>
      <c r="CR44" s="98"/>
      <c r="CS44" s="98"/>
      <c r="CT44" s="98"/>
      <c r="CU44" s="98"/>
      <c r="CV44" s="98"/>
      <c r="CW44" s="98"/>
      <c r="CX44" s="98"/>
      <c r="CY44" s="98"/>
      <c r="CZ44" s="98"/>
      <c r="DA44" s="98"/>
      <c r="DB44" s="98"/>
      <c r="DC44" s="98"/>
      <c r="DD44" s="98"/>
      <c r="DE44" s="98"/>
      <c r="DF44" s="98"/>
      <c r="DG44" s="98"/>
      <c r="DH44" s="98"/>
      <c r="DI44" s="98"/>
      <c r="DJ44" s="98"/>
      <c r="DK44" s="98"/>
      <c r="DL44" s="98"/>
      <c r="DM44" s="98"/>
      <c r="DN44" s="98"/>
      <c r="DO44" s="98"/>
      <c r="DP44" s="98"/>
      <c r="DQ44" s="98"/>
      <c r="DR44" s="98"/>
      <c r="DS44" s="98"/>
      <c r="DT44" s="98"/>
      <c r="DU44" s="98"/>
      <c r="DV44" s="98"/>
      <c r="DW44" s="98"/>
      <c r="DX44" s="98"/>
      <c r="DY44" s="98"/>
      <c r="DZ44" s="98"/>
      <c r="EA44" s="98"/>
      <c r="EB44" s="98"/>
      <c r="EC44" s="98"/>
      <c r="ED44" s="98"/>
      <c r="EE44" s="98"/>
      <c r="EF44" s="98"/>
      <c r="EG44" s="98"/>
      <c r="EH44" s="98"/>
      <c r="EI44" s="98"/>
      <c r="EJ44" s="98"/>
      <c r="EK44" s="98"/>
      <c r="EL44" s="98"/>
      <c r="EM44" s="98"/>
      <c r="EN44" s="98"/>
      <c r="EO44" s="98"/>
      <c r="EP44" s="98"/>
      <c r="EQ44" s="98"/>
      <c r="ER44" s="98"/>
      <c r="ES44" s="98"/>
      <c r="ET44" s="98"/>
      <c r="EU44" s="98"/>
      <c r="EV44" s="98"/>
      <c r="EW44" s="98"/>
      <c r="EX44" s="98"/>
      <c r="EY44" s="98"/>
      <c r="EZ44" s="98"/>
      <c r="FA44" s="98"/>
      <c r="FB44" s="98"/>
      <c r="FC44" s="98"/>
      <c r="FD44" s="98"/>
      <c r="FE44" s="98"/>
      <c r="FF44" s="98"/>
      <c r="FG44" s="98"/>
      <c r="FH44" s="98"/>
      <c r="FI44" s="98"/>
      <c r="FJ44" s="98"/>
      <c r="FK44" s="98"/>
      <c r="FL44" s="98"/>
      <c r="FM44" s="98"/>
      <c r="FN44" s="98"/>
      <c r="FO44" s="98"/>
      <c r="FP44" s="9"/>
      <c r="FQ44" s="9"/>
      <c r="FR44" s="9"/>
      <c r="FS44" s="9"/>
      <c r="FT44" s="9"/>
      <c r="FU44" s="9"/>
      <c r="FV44" s="9"/>
      <c r="FW44" s="9"/>
      <c r="FX44" s="9"/>
      <c r="FY44" s="9"/>
      <c r="FZ44" s="9"/>
      <c r="GA44" s="9"/>
      <c r="GB44" s="9"/>
      <c r="GC44" s="9"/>
      <c r="GD44" s="9"/>
      <c r="GE44" s="9"/>
      <c r="GF44" s="9"/>
      <c r="GG44" s="9"/>
      <c r="GH44" s="9"/>
      <c r="GI44" s="9"/>
      <c r="GJ44" s="9"/>
    </row>
    <row r="45" spans="1:192" s="93" customFormat="1" ht="31.5" hidden="1">
      <c r="A45" s="104">
        <f>COUNTA($D$4:D45)</f>
        <v>32</v>
      </c>
      <c r="B45" s="105" t="s">
        <v>98</v>
      </c>
      <c r="C45" s="101" t="s">
        <v>12</v>
      </c>
      <c r="D45" s="106">
        <v>173.55319828980842</v>
      </c>
      <c r="E45" s="106">
        <f t="shared" si="6"/>
        <v>92.503854688467868</v>
      </c>
      <c r="F45" s="106">
        <f t="shared" si="7"/>
        <v>81.049343601340539</v>
      </c>
      <c r="G45" s="108"/>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c r="BG45" s="98"/>
      <c r="BH45" s="98"/>
      <c r="BI45" s="98"/>
      <c r="BJ45" s="98"/>
      <c r="BK45" s="98"/>
      <c r="BL45" s="98"/>
      <c r="BM45" s="98"/>
      <c r="BN45" s="98"/>
      <c r="BO45" s="98"/>
      <c r="BP45" s="98"/>
      <c r="BQ45" s="98"/>
      <c r="BR45" s="98"/>
      <c r="BS45" s="98"/>
      <c r="BT45" s="98"/>
      <c r="BU45" s="98"/>
      <c r="BV45" s="98"/>
      <c r="BW45" s="98"/>
      <c r="BX45" s="98"/>
      <c r="BY45" s="98"/>
      <c r="BZ45" s="98"/>
      <c r="CA45" s="98"/>
      <c r="CB45" s="98"/>
      <c r="CC45" s="98"/>
      <c r="CD45" s="98"/>
      <c r="CE45" s="98"/>
      <c r="CF45" s="98"/>
      <c r="CG45" s="98"/>
      <c r="CH45" s="98"/>
      <c r="CI45" s="98"/>
      <c r="CJ45" s="98"/>
      <c r="CK45" s="98"/>
      <c r="CL45" s="98"/>
      <c r="CM45" s="98"/>
      <c r="CN45" s="98"/>
      <c r="CO45" s="98"/>
      <c r="CP45" s="98"/>
      <c r="CQ45" s="98"/>
      <c r="CR45" s="98"/>
      <c r="CS45" s="98"/>
      <c r="CT45" s="98"/>
      <c r="CU45" s="98"/>
      <c r="CV45" s="98"/>
      <c r="CW45" s="98"/>
      <c r="CX45" s="98"/>
      <c r="CY45" s="98"/>
      <c r="CZ45" s="98"/>
      <c r="DA45" s="98"/>
      <c r="DB45" s="98"/>
      <c r="DC45" s="98"/>
      <c r="DD45" s="98"/>
      <c r="DE45" s="98"/>
      <c r="DF45" s="98"/>
      <c r="DG45" s="98"/>
      <c r="DH45" s="98"/>
      <c r="DI45" s="98"/>
      <c r="DJ45" s="98"/>
      <c r="DK45" s="98"/>
      <c r="DL45" s="98"/>
      <c r="DM45" s="98"/>
      <c r="DN45" s="98"/>
      <c r="DO45" s="98"/>
      <c r="DP45" s="98"/>
      <c r="DQ45" s="98"/>
      <c r="DR45" s="98"/>
      <c r="DS45" s="98"/>
      <c r="DT45" s="98"/>
      <c r="DU45" s="98"/>
      <c r="DV45" s="98"/>
      <c r="DW45" s="98"/>
      <c r="DX45" s="98"/>
      <c r="DY45" s="98"/>
      <c r="DZ45" s="98"/>
      <c r="EA45" s="98"/>
      <c r="EB45" s="98"/>
      <c r="EC45" s="98"/>
      <c r="ED45" s="98"/>
      <c r="EE45" s="98"/>
      <c r="EF45" s="98"/>
      <c r="EG45" s="98"/>
      <c r="EH45" s="98"/>
      <c r="EI45" s="98"/>
      <c r="EJ45" s="98"/>
      <c r="EK45" s="98"/>
      <c r="EL45" s="98"/>
      <c r="EM45" s="98"/>
      <c r="EN45" s="98"/>
      <c r="EO45" s="98"/>
      <c r="EP45" s="98"/>
      <c r="EQ45" s="98"/>
      <c r="ER45" s="98"/>
      <c r="ES45" s="98"/>
      <c r="ET45" s="98"/>
      <c r="EU45" s="98"/>
      <c r="EV45" s="98"/>
      <c r="EW45" s="98"/>
      <c r="EX45" s="98"/>
      <c r="EY45" s="98"/>
      <c r="EZ45" s="98"/>
      <c r="FA45" s="98"/>
      <c r="FB45" s="98"/>
      <c r="FC45" s="98"/>
      <c r="FD45" s="98"/>
      <c r="FE45" s="98"/>
      <c r="FF45" s="98"/>
      <c r="FG45" s="98"/>
      <c r="FH45" s="98"/>
      <c r="FI45" s="98"/>
      <c r="FJ45" s="98"/>
      <c r="FK45" s="98"/>
      <c r="FL45" s="98"/>
      <c r="FM45" s="98"/>
      <c r="FN45" s="98"/>
      <c r="FO45" s="98"/>
      <c r="FP45" s="9"/>
      <c r="FQ45" s="9"/>
      <c r="FR45" s="9"/>
      <c r="FS45" s="9"/>
      <c r="FT45" s="9"/>
      <c r="FU45" s="9"/>
      <c r="FV45" s="9"/>
      <c r="FW45" s="9"/>
      <c r="FX45" s="9"/>
      <c r="FY45" s="9"/>
      <c r="FZ45" s="9"/>
      <c r="GA45" s="9"/>
      <c r="GB45" s="9"/>
      <c r="GC45" s="9"/>
      <c r="GD45" s="9"/>
      <c r="GE45" s="9"/>
      <c r="GF45" s="9"/>
      <c r="GG45" s="9"/>
      <c r="GH45" s="9"/>
      <c r="GI45" s="9"/>
      <c r="GJ45" s="9"/>
    </row>
    <row r="46" spans="1:192" s="93" customFormat="1" ht="31.5" hidden="1">
      <c r="A46" s="104">
        <f>COUNTA($D$4:D46)</f>
        <v>33</v>
      </c>
      <c r="B46" s="105" t="s">
        <v>49</v>
      </c>
      <c r="C46" s="101" t="s">
        <v>12</v>
      </c>
      <c r="D46" s="106">
        <v>2817.5699999999997</v>
      </c>
      <c r="E46" s="106">
        <f t="shared" si="6"/>
        <v>1501.7648099999997</v>
      </c>
      <c r="F46" s="106">
        <f t="shared" si="7"/>
        <v>1315.80519</v>
      </c>
      <c r="G46" s="10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c r="BF46" s="98"/>
      <c r="BG46" s="98"/>
      <c r="BH46" s="98"/>
      <c r="BI46" s="98"/>
      <c r="BJ46" s="98"/>
      <c r="BK46" s="98"/>
      <c r="BL46" s="98"/>
      <c r="BM46" s="98"/>
      <c r="BN46" s="98"/>
      <c r="BO46" s="98"/>
      <c r="BP46" s="98"/>
      <c r="BQ46" s="98"/>
      <c r="BR46" s="98"/>
      <c r="BS46" s="98"/>
      <c r="BT46" s="98"/>
      <c r="BU46" s="98"/>
      <c r="BV46" s="98"/>
      <c r="BW46" s="98"/>
      <c r="BX46" s="98"/>
      <c r="BY46" s="98"/>
      <c r="BZ46" s="98"/>
      <c r="CA46" s="98"/>
      <c r="CB46" s="98"/>
      <c r="CC46" s="98"/>
      <c r="CD46" s="98"/>
      <c r="CE46" s="98"/>
      <c r="CF46" s="98"/>
      <c r="CG46" s="98"/>
      <c r="CH46" s="98"/>
      <c r="CI46" s="98"/>
      <c r="CJ46" s="98"/>
      <c r="CK46" s="98"/>
      <c r="CL46" s="98"/>
      <c r="CM46" s="98"/>
      <c r="CN46" s="98"/>
      <c r="CO46" s="98"/>
      <c r="CP46" s="98"/>
      <c r="CQ46" s="98"/>
      <c r="CR46" s="98"/>
      <c r="CS46" s="98"/>
      <c r="CT46" s="98"/>
      <c r="CU46" s="98"/>
      <c r="CV46" s="98"/>
      <c r="CW46" s="98"/>
      <c r="CX46" s="98"/>
      <c r="CY46" s="98"/>
      <c r="CZ46" s="98"/>
      <c r="DA46" s="98"/>
      <c r="DB46" s="98"/>
      <c r="DC46" s="98"/>
      <c r="DD46" s="98"/>
      <c r="DE46" s="98"/>
      <c r="DF46" s="98"/>
      <c r="DG46" s="98"/>
      <c r="DH46" s="98"/>
      <c r="DI46" s="98"/>
      <c r="DJ46" s="98"/>
      <c r="DK46" s="98"/>
      <c r="DL46" s="98"/>
      <c r="DM46" s="98"/>
      <c r="DN46" s="98"/>
      <c r="DO46" s="98"/>
      <c r="DP46" s="98"/>
      <c r="DQ46" s="98"/>
      <c r="DR46" s="98"/>
      <c r="DS46" s="98"/>
      <c r="DT46" s="98"/>
      <c r="DU46" s="98"/>
      <c r="DV46" s="98"/>
      <c r="DW46" s="98"/>
      <c r="DX46" s="98"/>
      <c r="DY46" s="98"/>
      <c r="DZ46" s="98"/>
      <c r="EA46" s="98"/>
      <c r="EB46" s="98"/>
      <c r="EC46" s="98"/>
      <c r="ED46" s="98"/>
      <c r="EE46" s="98"/>
      <c r="EF46" s="98"/>
      <c r="EG46" s="98"/>
      <c r="EH46" s="98"/>
      <c r="EI46" s="98"/>
      <c r="EJ46" s="98"/>
      <c r="EK46" s="98"/>
      <c r="EL46" s="98"/>
      <c r="EM46" s="98"/>
      <c r="EN46" s="98"/>
      <c r="EO46" s="98"/>
      <c r="EP46" s="98"/>
      <c r="EQ46" s="98"/>
      <c r="ER46" s="98"/>
      <c r="ES46" s="98"/>
      <c r="ET46" s="98"/>
      <c r="EU46" s="98"/>
      <c r="EV46" s="98"/>
      <c r="EW46" s="98"/>
      <c r="EX46" s="98"/>
      <c r="EY46" s="98"/>
      <c r="EZ46" s="98"/>
      <c r="FA46" s="98"/>
      <c r="FB46" s="98"/>
      <c r="FC46" s="98"/>
      <c r="FD46" s="98"/>
      <c r="FE46" s="98"/>
      <c r="FF46" s="98"/>
      <c r="FG46" s="98"/>
      <c r="FH46" s="98"/>
      <c r="FI46" s="98"/>
      <c r="FJ46" s="98"/>
      <c r="FK46" s="98"/>
      <c r="FL46" s="98"/>
      <c r="FM46" s="98"/>
      <c r="FN46" s="98"/>
      <c r="FO46" s="98"/>
      <c r="FP46" s="9"/>
      <c r="FQ46" s="9"/>
      <c r="FR46" s="9"/>
      <c r="FS46" s="9"/>
      <c r="FT46" s="9"/>
      <c r="FU46" s="9"/>
      <c r="FV46" s="9"/>
      <c r="FW46" s="9"/>
      <c r="FX46" s="9"/>
      <c r="FY46" s="9"/>
      <c r="FZ46" s="9"/>
      <c r="GA46" s="9"/>
      <c r="GB46" s="9"/>
      <c r="GC46" s="9"/>
      <c r="GD46" s="9"/>
      <c r="GE46" s="9"/>
      <c r="GF46" s="9"/>
      <c r="GG46" s="9"/>
      <c r="GH46" s="9"/>
      <c r="GI46" s="9"/>
      <c r="GJ46" s="9"/>
    </row>
    <row r="47" spans="1:192" s="93" customFormat="1" ht="16.5" hidden="1">
      <c r="A47" s="104">
        <f>COUNTA($D$4:D47)</f>
        <v>34</v>
      </c>
      <c r="B47" s="105" t="s">
        <v>50</v>
      </c>
      <c r="C47" s="101" t="s">
        <v>28</v>
      </c>
      <c r="D47" s="106">
        <v>4007.49</v>
      </c>
      <c r="E47" s="106">
        <f t="shared" si="6"/>
        <v>2135.9921699999995</v>
      </c>
      <c r="F47" s="106">
        <f t="shared" si="7"/>
        <v>1871.49783</v>
      </c>
      <c r="G47" s="108"/>
      <c r="H47" s="98"/>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8"/>
      <c r="AN47" s="98"/>
      <c r="AO47" s="98"/>
      <c r="AP47" s="98"/>
      <c r="AQ47" s="98"/>
      <c r="AR47" s="98"/>
      <c r="AS47" s="98"/>
      <c r="AT47" s="98"/>
      <c r="AU47" s="98"/>
      <c r="AV47" s="98"/>
      <c r="AW47" s="98"/>
      <c r="AX47" s="98"/>
      <c r="AY47" s="98"/>
      <c r="AZ47" s="98"/>
      <c r="BA47" s="98"/>
      <c r="BB47" s="98"/>
      <c r="BC47" s="98"/>
      <c r="BD47" s="98"/>
      <c r="BE47" s="98"/>
      <c r="BF47" s="98"/>
      <c r="BG47" s="98"/>
      <c r="BH47" s="98"/>
      <c r="BI47" s="98"/>
      <c r="BJ47" s="98"/>
      <c r="BK47" s="98"/>
      <c r="BL47" s="98"/>
      <c r="BM47" s="98"/>
      <c r="BN47" s="98"/>
      <c r="BO47" s="98"/>
      <c r="BP47" s="98"/>
      <c r="BQ47" s="98"/>
      <c r="BR47" s="98"/>
      <c r="BS47" s="98"/>
      <c r="BT47" s="98"/>
      <c r="BU47" s="98"/>
      <c r="BV47" s="98"/>
      <c r="BW47" s="98"/>
      <c r="BX47" s="98"/>
      <c r="BY47" s="98"/>
      <c r="BZ47" s="98"/>
      <c r="CA47" s="98"/>
      <c r="CB47" s="98"/>
      <c r="CC47" s="98"/>
      <c r="CD47" s="98"/>
      <c r="CE47" s="98"/>
      <c r="CF47" s="98"/>
      <c r="CG47" s="98"/>
      <c r="CH47" s="98"/>
      <c r="CI47" s="98"/>
      <c r="CJ47" s="98"/>
      <c r="CK47" s="98"/>
      <c r="CL47" s="98"/>
      <c r="CM47" s="98"/>
      <c r="CN47" s="98"/>
      <c r="CO47" s="98"/>
      <c r="CP47" s="98"/>
      <c r="CQ47" s="98"/>
      <c r="CR47" s="98"/>
      <c r="CS47" s="98"/>
      <c r="CT47" s="98"/>
      <c r="CU47" s="98"/>
      <c r="CV47" s="98"/>
      <c r="CW47" s="98"/>
      <c r="CX47" s="98"/>
      <c r="CY47" s="98"/>
      <c r="CZ47" s="98"/>
      <c r="DA47" s="98"/>
      <c r="DB47" s="98"/>
      <c r="DC47" s="98"/>
      <c r="DD47" s="98"/>
      <c r="DE47" s="98"/>
      <c r="DF47" s="98"/>
      <c r="DG47" s="98"/>
      <c r="DH47" s="98"/>
      <c r="DI47" s="98"/>
      <c r="DJ47" s="98"/>
      <c r="DK47" s="98"/>
      <c r="DL47" s="98"/>
      <c r="DM47" s="98"/>
      <c r="DN47" s="98"/>
      <c r="DO47" s="98"/>
      <c r="DP47" s="98"/>
      <c r="DQ47" s="98"/>
      <c r="DR47" s="98"/>
      <c r="DS47" s="98"/>
      <c r="DT47" s="98"/>
      <c r="DU47" s="98"/>
      <c r="DV47" s="98"/>
      <c r="DW47" s="98"/>
      <c r="DX47" s="98"/>
      <c r="DY47" s="98"/>
      <c r="DZ47" s="98"/>
      <c r="EA47" s="98"/>
      <c r="EB47" s="98"/>
      <c r="EC47" s="98"/>
      <c r="ED47" s="98"/>
      <c r="EE47" s="98"/>
      <c r="EF47" s="98"/>
      <c r="EG47" s="98"/>
      <c r="EH47" s="98"/>
      <c r="EI47" s="98"/>
      <c r="EJ47" s="98"/>
      <c r="EK47" s="98"/>
      <c r="EL47" s="98"/>
      <c r="EM47" s="98"/>
      <c r="EN47" s="98"/>
      <c r="EO47" s="98"/>
      <c r="EP47" s="98"/>
      <c r="EQ47" s="98"/>
      <c r="ER47" s="98"/>
      <c r="ES47" s="98"/>
      <c r="ET47" s="98"/>
      <c r="EU47" s="98"/>
      <c r="EV47" s="98"/>
      <c r="EW47" s="98"/>
      <c r="EX47" s="98"/>
      <c r="EY47" s="98"/>
      <c r="EZ47" s="98"/>
      <c r="FA47" s="98"/>
      <c r="FB47" s="98"/>
      <c r="FC47" s="98"/>
      <c r="FD47" s="98"/>
      <c r="FE47" s="98"/>
      <c r="FF47" s="98"/>
      <c r="FG47" s="98"/>
      <c r="FH47" s="98"/>
      <c r="FI47" s="98"/>
      <c r="FJ47" s="98"/>
      <c r="FK47" s="98"/>
      <c r="FL47" s="98"/>
      <c r="FM47" s="98"/>
      <c r="FN47" s="98"/>
      <c r="FO47" s="98"/>
      <c r="FP47" s="9"/>
      <c r="FQ47" s="9"/>
      <c r="FR47" s="9"/>
      <c r="FS47" s="9"/>
      <c r="FT47" s="9"/>
      <c r="FU47" s="9"/>
      <c r="FV47" s="9"/>
      <c r="FW47" s="9"/>
      <c r="FX47" s="9"/>
      <c r="FY47" s="9"/>
      <c r="FZ47" s="9"/>
      <c r="GA47" s="9"/>
      <c r="GB47" s="9"/>
      <c r="GC47" s="9"/>
      <c r="GD47" s="9"/>
      <c r="GE47" s="9"/>
      <c r="GF47" s="9"/>
      <c r="GG47" s="9"/>
      <c r="GH47" s="9"/>
      <c r="GI47" s="9"/>
      <c r="GJ47" s="9"/>
    </row>
    <row r="48" spans="1:192" s="93" customFormat="1" ht="16.5" hidden="1">
      <c r="A48" s="94" t="s">
        <v>239</v>
      </c>
      <c r="B48" s="95" t="s">
        <v>240</v>
      </c>
      <c r="C48" s="94"/>
      <c r="D48" s="96"/>
      <c r="E48" s="96"/>
      <c r="F48" s="96"/>
      <c r="G48" s="97"/>
      <c r="H48" s="98"/>
      <c r="I48" s="98"/>
      <c r="J48" s="98"/>
      <c r="K48" s="98"/>
      <c r="L48" s="98"/>
      <c r="M48" s="98"/>
      <c r="N48" s="98"/>
      <c r="O48" s="98"/>
      <c r="P48" s="98"/>
      <c r="Q48" s="98"/>
      <c r="R48" s="98"/>
      <c r="S48" s="98"/>
      <c r="T48" s="98"/>
      <c r="U48" s="98"/>
      <c r="V48" s="98"/>
      <c r="W48" s="98"/>
      <c r="X48" s="98"/>
      <c r="Y48" s="98"/>
      <c r="Z48" s="98"/>
      <c r="AA48" s="98"/>
      <c r="AB48" s="98"/>
      <c r="AC48" s="98"/>
      <c r="AD48" s="98"/>
      <c r="AE48" s="98"/>
      <c r="AF48" s="98"/>
      <c r="AG48" s="98"/>
      <c r="AH48" s="98"/>
      <c r="AI48" s="98"/>
      <c r="AJ48" s="98"/>
      <c r="AK48" s="98"/>
      <c r="AL48" s="98"/>
      <c r="AM48" s="98"/>
      <c r="AN48" s="98"/>
      <c r="AO48" s="98"/>
      <c r="AP48" s="98"/>
      <c r="AQ48" s="98"/>
      <c r="AR48" s="98"/>
      <c r="AS48" s="98"/>
      <c r="AT48" s="98"/>
      <c r="AU48" s="98"/>
      <c r="AV48" s="98"/>
      <c r="AW48" s="98"/>
      <c r="AX48" s="98"/>
      <c r="AY48" s="98"/>
      <c r="AZ48" s="98"/>
      <c r="BA48" s="98"/>
      <c r="BB48" s="98"/>
      <c r="BC48" s="98"/>
      <c r="BD48" s="98"/>
      <c r="BE48" s="98"/>
      <c r="BF48" s="98"/>
      <c r="BG48" s="98"/>
      <c r="BH48" s="98"/>
      <c r="BI48" s="98"/>
      <c r="BJ48" s="98"/>
      <c r="BK48" s="98"/>
      <c r="BL48" s="98"/>
      <c r="BM48" s="98"/>
      <c r="BN48" s="98"/>
      <c r="BO48" s="98"/>
      <c r="BP48" s="98"/>
      <c r="BQ48" s="98"/>
      <c r="BR48" s="98"/>
      <c r="BS48" s="98"/>
      <c r="BT48" s="98"/>
      <c r="BU48" s="98"/>
      <c r="BV48" s="98"/>
      <c r="BW48" s="98"/>
      <c r="BX48" s="98"/>
      <c r="BY48" s="98"/>
      <c r="BZ48" s="98"/>
      <c r="CA48" s="98"/>
      <c r="CB48" s="98"/>
      <c r="CC48" s="98"/>
      <c r="CD48" s="98"/>
      <c r="CE48" s="98"/>
      <c r="CF48" s="98"/>
      <c r="CG48" s="98"/>
      <c r="CH48" s="98"/>
      <c r="CI48" s="98"/>
      <c r="CJ48" s="98"/>
      <c r="CK48" s="98"/>
      <c r="CL48" s="98"/>
      <c r="CM48" s="98"/>
      <c r="CN48" s="98"/>
      <c r="CO48" s="98"/>
      <c r="CP48" s="98"/>
      <c r="CQ48" s="98"/>
      <c r="CR48" s="98"/>
      <c r="CS48" s="98"/>
      <c r="CT48" s="98"/>
      <c r="CU48" s="98"/>
      <c r="CV48" s="98"/>
      <c r="CW48" s="98"/>
      <c r="CX48" s="98"/>
      <c r="CY48" s="98"/>
      <c r="CZ48" s="98"/>
      <c r="DA48" s="98"/>
      <c r="DB48" s="98"/>
      <c r="DC48" s="98"/>
      <c r="DD48" s="98"/>
      <c r="DE48" s="98"/>
      <c r="DF48" s="98"/>
      <c r="DG48" s="98"/>
      <c r="DH48" s="98"/>
      <c r="DI48" s="98"/>
      <c r="DJ48" s="98"/>
      <c r="DK48" s="98"/>
      <c r="DL48" s="98"/>
      <c r="DM48" s="98"/>
      <c r="DN48" s="98"/>
      <c r="DO48" s="98"/>
      <c r="DP48" s="98"/>
      <c r="DQ48" s="98"/>
      <c r="DR48" s="98"/>
      <c r="DS48" s="98"/>
      <c r="DT48" s="98"/>
      <c r="DU48" s="98"/>
      <c r="DV48" s="98"/>
      <c r="DW48" s="98"/>
      <c r="DX48" s="98"/>
      <c r="DY48" s="98"/>
      <c r="DZ48" s="98"/>
      <c r="EA48" s="98"/>
      <c r="EB48" s="98"/>
      <c r="EC48" s="98"/>
      <c r="ED48" s="98"/>
      <c r="EE48" s="98"/>
      <c r="EF48" s="98"/>
      <c r="EG48" s="98"/>
      <c r="EH48" s="98"/>
      <c r="EI48" s="98"/>
      <c r="EJ48" s="98"/>
      <c r="EK48" s="98"/>
      <c r="EL48" s="98"/>
      <c r="EM48" s="98"/>
      <c r="EN48" s="98"/>
      <c r="EO48" s="98"/>
      <c r="EP48" s="98"/>
      <c r="EQ48" s="98"/>
      <c r="ER48" s="98"/>
      <c r="ES48" s="98"/>
      <c r="ET48" s="98"/>
      <c r="EU48" s="98"/>
      <c r="EV48" s="98"/>
      <c r="EW48" s="98"/>
      <c r="EX48" s="98"/>
      <c r="EY48" s="98"/>
      <c r="EZ48" s="98"/>
      <c r="FA48" s="98"/>
      <c r="FB48" s="98"/>
      <c r="FC48" s="98"/>
      <c r="FD48" s="98"/>
      <c r="FE48" s="98"/>
      <c r="FF48" s="98"/>
      <c r="FG48" s="98"/>
      <c r="FH48" s="98"/>
      <c r="FI48" s="98"/>
      <c r="FJ48" s="98"/>
      <c r="FK48" s="98"/>
      <c r="FL48" s="98"/>
      <c r="FM48" s="98"/>
      <c r="FN48" s="98"/>
      <c r="FO48" s="98"/>
      <c r="FP48" s="9"/>
      <c r="FQ48" s="9"/>
      <c r="FR48" s="9"/>
      <c r="FS48" s="9"/>
      <c r="FT48" s="9"/>
      <c r="FU48" s="9"/>
      <c r="FV48" s="9"/>
      <c r="FW48" s="9"/>
      <c r="FX48" s="9"/>
      <c r="FY48" s="9"/>
      <c r="FZ48" s="9"/>
      <c r="GA48" s="9"/>
      <c r="GB48" s="9"/>
      <c r="GC48" s="9"/>
      <c r="GD48" s="9"/>
      <c r="GE48" s="9"/>
      <c r="GF48" s="9"/>
      <c r="GG48" s="9"/>
      <c r="GH48" s="9"/>
      <c r="GI48" s="9"/>
      <c r="GJ48" s="9"/>
    </row>
    <row r="49" spans="1:192" s="93" customFormat="1" ht="31.5" hidden="1">
      <c r="A49" s="104">
        <f>COUNTA($D$4:D49)</f>
        <v>35</v>
      </c>
      <c r="B49" s="105" t="s">
        <v>241</v>
      </c>
      <c r="C49" s="101" t="s">
        <v>12</v>
      </c>
      <c r="D49" s="106">
        <v>896.13800000000015</v>
      </c>
      <c r="E49" s="106">
        <f t="shared" ref="E49:E62" si="8">+D49*53.3%</f>
        <v>477.64155399999999</v>
      </c>
      <c r="F49" s="106">
        <f t="shared" ref="F49:F62" si="9">+D49*46.7%</f>
        <v>418.49644600000011</v>
      </c>
      <c r="G49" s="108"/>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c r="BR49" s="98"/>
      <c r="BS49" s="98"/>
      <c r="BT49" s="98"/>
      <c r="BU49" s="98"/>
      <c r="BV49" s="98"/>
      <c r="BW49" s="98"/>
      <c r="BX49" s="98"/>
      <c r="BY49" s="98"/>
      <c r="BZ49" s="98"/>
      <c r="CA49" s="98"/>
      <c r="CB49" s="98"/>
      <c r="CC49" s="98"/>
      <c r="CD49" s="98"/>
      <c r="CE49" s="98"/>
      <c r="CF49" s="98"/>
      <c r="CG49" s="98"/>
      <c r="CH49" s="98"/>
      <c r="CI49" s="98"/>
      <c r="CJ49" s="98"/>
      <c r="CK49" s="98"/>
      <c r="CL49" s="98"/>
      <c r="CM49" s="98"/>
      <c r="CN49" s="98"/>
      <c r="CO49" s="98"/>
      <c r="CP49" s="98"/>
      <c r="CQ49" s="98"/>
      <c r="CR49" s="98"/>
      <c r="CS49" s="98"/>
      <c r="CT49" s="98"/>
      <c r="CU49" s="98"/>
      <c r="CV49" s="98"/>
      <c r="CW49" s="98"/>
      <c r="CX49" s="98"/>
      <c r="CY49" s="98"/>
      <c r="CZ49" s="98"/>
      <c r="DA49" s="98"/>
      <c r="DB49" s="98"/>
      <c r="DC49" s="98"/>
      <c r="DD49" s="98"/>
      <c r="DE49" s="98"/>
      <c r="DF49" s="98"/>
      <c r="DG49" s="98"/>
      <c r="DH49" s="98"/>
      <c r="DI49" s="98"/>
      <c r="DJ49" s="98"/>
      <c r="DK49" s="98"/>
      <c r="DL49" s="98"/>
      <c r="DM49" s="98"/>
      <c r="DN49" s="98"/>
      <c r="DO49" s="98"/>
      <c r="DP49" s="98"/>
      <c r="DQ49" s="98"/>
      <c r="DR49" s="98"/>
      <c r="DS49" s="98"/>
      <c r="DT49" s="98"/>
      <c r="DU49" s="98"/>
      <c r="DV49" s="98"/>
      <c r="DW49" s="98"/>
      <c r="DX49" s="98"/>
      <c r="DY49" s="98"/>
      <c r="DZ49" s="98"/>
      <c r="EA49" s="98"/>
      <c r="EB49" s="98"/>
      <c r="EC49" s="98"/>
      <c r="ED49" s="98"/>
      <c r="EE49" s="98"/>
      <c r="EF49" s="98"/>
      <c r="EG49" s="98"/>
      <c r="EH49" s="98"/>
      <c r="EI49" s="98"/>
      <c r="EJ49" s="98"/>
      <c r="EK49" s="98"/>
      <c r="EL49" s="98"/>
      <c r="EM49" s="98"/>
      <c r="EN49" s="98"/>
      <c r="EO49" s="98"/>
      <c r="EP49" s="98"/>
      <c r="EQ49" s="98"/>
      <c r="ER49" s="98"/>
      <c r="ES49" s="98"/>
      <c r="ET49" s="98"/>
      <c r="EU49" s="98"/>
      <c r="EV49" s="98"/>
      <c r="EW49" s="98"/>
      <c r="EX49" s="98"/>
      <c r="EY49" s="98"/>
      <c r="EZ49" s="98"/>
      <c r="FA49" s="98"/>
      <c r="FB49" s="98"/>
      <c r="FC49" s="98"/>
      <c r="FD49" s="98"/>
      <c r="FE49" s="98"/>
      <c r="FF49" s="98"/>
      <c r="FG49" s="98"/>
      <c r="FH49" s="98"/>
      <c r="FI49" s="98"/>
      <c r="FJ49" s="98"/>
      <c r="FK49" s="98"/>
      <c r="FL49" s="98"/>
      <c r="FM49" s="98"/>
      <c r="FN49" s="98"/>
      <c r="FO49" s="98"/>
      <c r="FP49" s="9"/>
      <c r="FQ49" s="9"/>
      <c r="FR49" s="9"/>
      <c r="FS49" s="9"/>
      <c r="FT49" s="9"/>
      <c r="FU49" s="9"/>
      <c r="FV49" s="9"/>
      <c r="FW49" s="9"/>
      <c r="FX49" s="9"/>
      <c r="FY49" s="9"/>
      <c r="FZ49" s="9"/>
      <c r="GA49" s="9"/>
      <c r="GB49" s="9"/>
      <c r="GC49" s="9"/>
      <c r="GD49" s="9"/>
      <c r="GE49" s="9"/>
      <c r="GF49" s="9"/>
      <c r="GG49" s="9"/>
      <c r="GH49" s="9"/>
      <c r="GI49" s="9"/>
      <c r="GJ49" s="9"/>
    </row>
    <row r="50" spans="1:192" s="93" customFormat="1" ht="42" hidden="1" customHeight="1">
      <c r="A50" s="104">
        <f>COUNTA($D$4:D50)</f>
        <v>36</v>
      </c>
      <c r="B50" s="105" t="s">
        <v>242</v>
      </c>
      <c r="C50" s="101" t="s">
        <v>12</v>
      </c>
      <c r="D50" s="106">
        <v>31067.880000000005</v>
      </c>
      <c r="E50" s="106">
        <f t="shared" si="8"/>
        <v>16559.180039999999</v>
      </c>
      <c r="F50" s="106">
        <f t="shared" si="9"/>
        <v>14508.699960000004</v>
      </c>
      <c r="G50" s="10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8"/>
      <c r="BR50" s="98"/>
      <c r="BS50" s="98"/>
      <c r="BT50" s="98"/>
      <c r="BU50" s="98"/>
      <c r="BV50" s="98"/>
      <c r="BW50" s="98"/>
      <c r="BX50" s="98"/>
      <c r="BY50" s="98"/>
      <c r="BZ50" s="98"/>
      <c r="CA50" s="98"/>
      <c r="CB50" s="98"/>
      <c r="CC50" s="98"/>
      <c r="CD50" s="98"/>
      <c r="CE50" s="98"/>
      <c r="CF50" s="98"/>
      <c r="CG50" s="98"/>
      <c r="CH50" s="98"/>
      <c r="CI50" s="98"/>
      <c r="CJ50" s="98"/>
      <c r="CK50" s="98"/>
      <c r="CL50" s="98"/>
      <c r="CM50" s="98"/>
      <c r="CN50" s="98"/>
      <c r="CO50" s="98"/>
      <c r="CP50" s="98"/>
      <c r="CQ50" s="98"/>
      <c r="CR50" s="98"/>
      <c r="CS50" s="98"/>
      <c r="CT50" s="98"/>
      <c r="CU50" s="98"/>
      <c r="CV50" s="98"/>
      <c r="CW50" s="98"/>
      <c r="CX50" s="98"/>
      <c r="CY50" s="98"/>
      <c r="CZ50" s="98"/>
      <c r="DA50" s="98"/>
      <c r="DB50" s="98"/>
      <c r="DC50" s="98"/>
      <c r="DD50" s="98"/>
      <c r="DE50" s="98"/>
      <c r="DF50" s="98"/>
      <c r="DG50" s="98"/>
      <c r="DH50" s="98"/>
      <c r="DI50" s="98"/>
      <c r="DJ50" s="98"/>
      <c r="DK50" s="98"/>
      <c r="DL50" s="98"/>
      <c r="DM50" s="98"/>
      <c r="DN50" s="98"/>
      <c r="DO50" s="98"/>
      <c r="DP50" s="98"/>
      <c r="DQ50" s="98"/>
      <c r="DR50" s="98"/>
      <c r="DS50" s="98"/>
      <c r="DT50" s="98"/>
      <c r="DU50" s="98"/>
      <c r="DV50" s="98"/>
      <c r="DW50" s="98"/>
      <c r="DX50" s="98"/>
      <c r="DY50" s="98"/>
      <c r="DZ50" s="98"/>
      <c r="EA50" s="98"/>
      <c r="EB50" s="98"/>
      <c r="EC50" s="98"/>
      <c r="ED50" s="98"/>
      <c r="EE50" s="98"/>
      <c r="EF50" s="98"/>
      <c r="EG50" s="98"/>
      <c r="EH50" s="98"/>
      <c r="EI50" s="98"/>
      <c r="EJ50" s="98"/>
      <c r="EK50" s="98"/>
      <c r="EL50" s="98"/>
      <c r="EM50" s="98"/>
      <c r="EN50" s="98"/>
      <c r="EO50" s="98"/>
      <c r="EP50" s="98"/>
      <c r="EQ50" s="98"/>
      <c r="ER50" s="98"/>
      <c r="ES50" s="98"/>
      <c r="ET50" s="98"/>
      <c r="EU50" s="98"/>
      <c r="EV50" s="98"/>
      <c r="EW50" s="98"/>
      <c r="EX50" s="98"/>
      <c r="EY50" s="98"/>
      <c r="EZ50" s="98"/>
      <c r="FA50" s="98"/>
      <c r="FB50" s="98"/>
      <c r="FC50" s="98"/>
      <c r="FD50" s="98"/>
      <c r="FE50" s="98"/>
      <c r="FF50" s="98"/>
      <c r="FG50" s="98"/>
      <c r="FH50" s="98"/>
      <c r="FI50" s="98"/>
      <c r="FJ50" s="98"/>
      <c r="FK50" s="98"/>
      <c r="FL50" s="98"/>
      <c r="FM50" s="98"/>
      <c r="FN50" s="98"/>
      <c r="FO50" s="98"/>
      <c r="FP50" s="9"/>
      <c r="FQ50" s="9"/>
      <c r="FR50" s="9"/>
      <c r="FS50" s="9"/>
      <c r="FT50" s="9"/>
      <c r="FU50" s="9"/>
      <c r="FV50" s="9"/>
      <c r="FW50" s="9"/>
      <c r="FX50" s="9"/>
      <c r="FY50" s="9"/>
      <c r="FZ50" s="9"/>
      <c r="GA50" s="9"/>
      <c r="GB50" s="9"/>
      <c r="GC50" s="9"/>
      <c r="GD50" s="9"/>
      <c r="GE50" s="9"/>
      <c r="GF50" s="9"/>
      <c r="GG50" s="9"/>
      <c r="GH50" s="9"/>
      <c r="GI50" s="9"/>
      <c r="GJ50" s="9"/>
    </row>
    <row r="51" spans="1:192" s="93" customFormat="1" ht="31.5" hidden="1">
      <c r="A51" s="104">
        <f>COUNTA($D$4:D51)</f>
        <v>37</v>
      </c>
      <c r="B51" s="105" t="s">
        <v>243</v>
      </c>
      <c r="C51" s="101" t="s">
        <v>12</v>
      </c>
      <c r="D51" s="106">
        <v>1423.0119999999997</v>
      </c>
      <c r="E51" s="106">
        <f t="shared" si="8"/>
        <v>758.46539599999971</v>
      </c>
      <c r="F51" s="106">
        <f t="shared" si="9"/>
        <v>664.54660399999989</v>
      </c>
      <c r="G51" s="108"/>
      <c r="H51" s="98"/>
      <c r="I51" s="98"/>
      <c r="J51" s="98"/>
      <c r="K51" s="98"/>
      <c r="L51" s="98"/>
      <c r="M51" s="98"/>
      <c r="N51" s="98"/>
      <c r="O51" s="98"/>
      <c r="P51" s="98"/>
      <c r="Q51" s="98"/>
      <c r="R51" s="98"/>
      <c r="S51" s="98"/>
      <c r="T51" s="98"/>
      <c r="U51" s="98"/>
      <c r="V51" s="98"/>
      <c r="W51" s="98"/>
      <c r="X51" s="98"/>
      <c r="Y51" s="98"/>
      <c r="Z51" s="98"/>
      <c r="AA51" s="98"/>
      <c r="AB51" s="98"/>
      <c r="AC51" s="98"/>
      <c r="AD51" s="98"/>
      <c r="AE51" s="98"/>
      <c r="AF51" s="98"/>
      <c r="AG51" s="98"/>
      <c r="AH51" s="98"/>
      <c r="AI51" s="98"/>
      <c r="AJ51" s="98"/>
      <c r="AK51" s="98"/>
      <c r="AL51" s="98"/>
      <c r="AM51" s="98"/>
      <c r="AN51" s="98"/>
      <c r="AO51" s="98"/>
      <c r="AP51" s="98"/>
      <c r="AQ51" s="98"/>
      <c r="AR51" s="98"/>
      <c r="AS51" s="98"/>
      <c r="AT51" s="98"/>
      <c r="AU51" s="98"/>
      <c r="AV51" s="98"/>
      <c r="AW51" s="98"/>
      <c r="AX51" s="98"/>
      <c r="AY51" s="98"/>
      <c r="AZ51" s="98"/>
      <c r="BA51" s="98"/>
      <c r="BB51" s="98"/>
      <c r="BC51" s="98"/>
      <c r="BD51" s="98"/>
      <c r="BE51" s="98"/>
      <c r="BF51" s="98"/>
      <c r="BG51" s="98"/>
      <c r="BH51" s="98"/>
      <c r="BI51" s="98"/>
      <c r="BJ51" s="98"/>
      <c r="BK51" s="98"/>
      <c r="BL51" s="98"/>
      <c r="BM51" s="98"/>
      <c r="BN51" s="98"/>
      <c r="BO51" s="98"/>
      <c r="BP51" s="98"/>
      <c r="BQ51" s="98"/>
      <c r="BR51" s="98"/>
      <c r="BS51" s="98"/>
      <c r="BT51" s="98"/>
      <c r="BU51" s="98"/>
      <c r="BV51" s="98"/>
      <c r="BW51" s="98"/>
      <c r="BX51" s="98"/>
      <c r="BY51" s="98"/>
      <c r="BZ51" s="98"/>
      <c r="CA51" s="98"/>
      <c r="CB51" s="98"/>
      <c r="CC51" s="98"/>
      <c r="CD51" s="98"/>
      <c r="CE51" s="98"/>
      <c r="CF51" s="98"/>
      <c r="CG51" s="98"/>
      <c r="CH51" s="98"/>
      <c r="CI51" s="98"/>
      <c r="CJ51" s="98"/>
      <c r="CK51" s="98"/>
      <c r="CL51" s="98"/>
      <c r="CM51" s="98"/>
      <c r="CN51" s="98"/>
      <c r="CO51" s="98"/>
      <c r="CP51" s="98"/>
      <c r="CQ51" s="98"/>
      <c r="CR51" s="98"/>
      <c r="CS51" s="98"/>
      <c r="CT51" s="98"/>
      <c r="CU51" s="98"/>
      <c r="CV51" s="98"/>
      <c r="CW51" s="98"/>
      <c r="CX51" s="98"/>
      <c r="CY51" s="98"/>
      <c r="CZ51" s="98"/>
      <c r="DA51" s="98"/>
      <c r="DB51" s="98"/>
      <c r="DC51" s="98"/>
      <c r="DD51" s="98"/>
      <c r="DE51" s="98"/>
      <c r="DF51" s="98"/>
      <c r="DG51" s="98"/>
      <c r="DH51" s="98"/>
      <c r="DI51" s="98"/>
      <c r="DJ51" s="98"/>
      <c r="DK51" s="98"/>
      <c r="DL51" s="98"/>
      <c r="DM51" s="98"/>
      <c r="DN51" s="98"/>
      <c r="DO51" s="98"/>
      <c r="DP51" s="98"/>
      <c r="DQ51" s="98"/>
      <c r="DR51" s="98"/>
      <c r="DS51" s="98"/>
      <c r="DT51" s="98"/>
      <c r="DU51" s="98"/>
      <c r="DV51" s="98"/>
      <c r="DW51" s="98"/>
      <c r="DX51" s="98"/>
      <c r="DY51" s="98"/>
      <c r="DZ51" s="98"/>
      <c r="EA51" s="98"/>
      <c r="EB51" s="98"/>
      <c r="EC51" s="98"/>
      <c r="ED51" s="98"/>
      <c r="EE51" s="98"/>
      <c r="EF51" s="98"/>
      <c r="EG51" s="98"/>
      <c r="EH51" s="98"/>
      <c r="EI51" s="98"/>
      <c r="EJ51" s="98"/>
      <c r="EK51" s="98"/>
      <c r="EL51" s="98"/>
      <c r="EM51" s="98"/>
      <c r="EN51" s="98"/>
      <c r="EO51" s="98"/>
      <c r="EP51" s="98"/>
      <c r="EQ51" s="98"/>
      <c r="ER51" s="98"/>
      <c r="ES51" s="98"/>
      <c r="ET51" s="98"/>
      <c r="EU51" s="98"/>
      <c r="EV51" s="98"/>
      <c r="EW51" s="98"/>
      <c r="EX51" s="98"/>
      <c r="EY51" s="98"/>
      <c r="EZ51" s="98"/>
      <c r="FA51" s="98"/>
      <c r="FB51" s="98"/>
      <c r="FC51" s="98"/>
      <c r="FD51" s="98"/>
      <c r="FE51" s="98"/>
      <c r="FF51" s="98"/>
      <c r="FG51" s="98"/>
      <c r="FH51" s="98"/>
      <c r="FI51" s="98"/>
      <c r="FJ51" s="98"/>
      <c r="FK51" s="98"/>
      <c r="FL51" s="98"/>
      <c r="FM51" s="98"/>
      <c r="FN51" s="98"/>
      <c r="FO51" s="98"/>
      <c r="FP51" s="9"/>
      <c r="FQ51" s="9"/>
      <c r="FR51" s="9"/>
      <c r="FS51" s="9"/>
      <c r="FT51" s="9"/>
      <c r="FU51" s="9"/>
      <c r="FV51" s="9"/>
      <c r="FW51" s="9"/>
      <c r="FX51" s="9"/>
      <c r="FY51" s="9"/>
      <c r="FZ51" s="9"/>
      <c r="GA51" s="9"/>
      <c r="GB51" s="9"/>
      <c r="GC51" s="9"/>
      <c r="GD51" s="9"/>
      <c r="GE51" s="9"/>
      <c r="GF51" s="9"/>
      <c r="GG51" s="9"/>
      <c r="GH51" s="9"/>
      <c r="GI51" s="9"/>
      <c r="GJ51" s="9"/>
    </row>
    <row r="52" spans="1:192" s="93" customFormat="1" ht="31.5" hidden="1">
      <c r="A52" s="104">
        <f>COUNTA($D$4:D52)</f>
        <v>38</v>
      </c>
      <c r="B52" s="105" t="s">
        <v>244</v>
      </c>
      <c r="C52" s="101" t="s">
        <v>12</v>
      </c>
      <c r="D52" s="106">
        <v>527.875</v>
      </c>
      <c r="E52" s="106">
        <f t="shared" si="8"/>
        <v>281.35737499999993</v>
      </c>
      <c r="F52" s="106">
        <f t="shared" si="9"/>
        <v>246.51762500000001</v>
      </c>
      <c r="G52" s="108"/>
      <c r="H52" s="98"/>
      <c r="I52" s="98"/>
      <c r="J52" s="98"/>
      <c r="K52" s="98"/>
      <c r="L52" s="98"/>
      <c r="M52" s="98"/>
      <c r="N52" s="98"/>
      <c r="O52" s="98"/>
      <c r="P52" s="98"/>
      <c r="Q52" s="98"/>
      <c r="R52" s="98"/>
      <c r="S52" s="98"/>
      <c r="T52" s="98"/>
      <c r="U52" s="98"/>
      <c r="V52" s="98"/>
      <c r="W52" s="98"/>
      <c r="X52" s="98"/>
      <c r="Y52" s="98"/>
      <c r="Z52" s="98"/>
      <c r="AA52" s="98"/>
      <c r="AB52" s="98"/>
      <c r="AC52" s="98"/>
      <c r="AD52" s="98"/>
      <c r="AE52" s="98"/>
      <c r="AF52" s="98"/>
      <c r="AG52" s="98"/>
      <c r="AH52" s="98"/>
      <c r="AI52" s="98"/>
      <c r="AJ52" s="98"/>
      <c r="AK52" s="98"/>
      <c r="AL52" s="98"/>
      <c r="AM52" s="98"/>
      <c r="AN52" s="98"/>
      <c r="AO52" s="98"/>
      <c r="AP52" s="98"/>
      <c r="AQ52" s="98"/>
      <c r="AR52" s="98"/>
      <c r="AS52" s="98"/>
      <c r="AT52" s="98"/>
      <c r="AU52" s="98"/>
      <c r="AV52" s="98"/>
      <c r="AW52" s="98"/>
      <c r="AX52" s="98"/>
      <c r="AY52" s="98"/>
      <c r="AZ52" s="98"/>
      <c r="BA52" s="98"/>
      <c r="BB52" s="98"/>
      <c r="BC52" s="98"/>
      <c r="BD52" s="98"/>
      <c r="BE52" s="98"/>
      <c r="BF52" s="98"/>
      <c r="BG52" s="98"/>
      <c r="BH52" s="98"/>
      <c r="BI52" s="98"/>
      <c r="BJ52" s="98"/>
      <c r="BK52" s="98"/>
      <c r="BL52" s="98"/>
      <c r="BM52" s="98"/>
      <c r="BN52" s="98"/>
      <c r="BO52" s="98"/>
      <c r="BP52" s="98"/>
      <c r="BQ52" s="98"/>
      <c r="BR52" s="98"/>
      <c r="BS52" s="98"/>
      <c r="BT52" s="98"/>
      <c r="BU52" s="98"/>
      <c r="BV52" s="98"/>
      <c r="BW52" s="98"/>
      <c r="BX52" s="98"/>
      <c r="BY52" s="98"/>
      <c r="BZ52" s="98"/>
      <c r="CA52" s="98"/>
      <c r="CB52" s="98"/>
      <c r="CC52" s="98"/>
      <c r="CD52" s="98"/>
      <c r="CE52" s="98"/>
      <c r="CF52" s="98"/>
      <c r="CG52" s="98"/>
      <c r="CH52" s="98"/>
      <c r="CI52" s="98"/>
      <c r="CJ52" s="98"/>
      <c r="CK52" s="98"/>
      <c r="CL52" s="98"/>
      <c r="CM52" s="98"/>
      <c r="CN52" s="98"/>
      <c r="CO52" s="98"/>
      <c r="CP52" s="98"/>
      <c r="CQ52" s="98"/>
      <c r="CR52" s="98"/>
      <c r="CS52" s="98"/>
      <c r="CT52" s="98"/>
      <c r="CU52" s="98"/>
      <c r="CV52" s="98"/>
      <c r="CW52" s="98"/>
      <c r="CX52" s="98"/>
      <c r="CY52" s="98"/>
      <c r="CZ52" s="98"/>
      <c r="DA52" s="98"/>
      <c r="DB52" s="98"/>
      <c r="DC52" s="98"/>
      <c r="DD52" s="98"/>
      <c r="DE52" s="98"/>
      <c r="DF52" s="98"/>
      <c r="DG52" s="98"/>
      <c r="DH52" s="98"/>
      <c r="DI52" s="98"/>
      <c r="DJ52" s="98"/>
      <c r="DK52" s="98"/>
      <c r="DL52" s="98"/>
      <c r="DM52" s="98"/>
      <c r="DN52" s="98"/>
      <c r="DO52" s="98"/>
      <c r="DP52" s="98"/>
      <c r="DQ52" s="98"/>
      <c r="DR52" s="98"/>
      <c r="DS52" s="98"/>
      <c r="DT52" s="98"/>
      <c r="DU52" s="98"/>
      <c r="DV52" s="98"/>
      <c r="DW52" s="98"/>
      <c r="DX52" s="98"/>
      <c r="DY52" s="98"/>
      <c r="DZ52" s="98"/>
      <c r="EA52" s="98"/>
      <c r="EB52" s="98"/>
      <c r="EC52" s="98"/>
      <c r="ED52" s="98"/>
      <c r="EE52" s="98"/>
      <c r="EF52" s="98"/>
      <c r="EG52" s="98"/>
      <c r="EH52" s="98"/>
      <c r="EI52" s="98"/>
      <c r="EJ52" s="98"/>
      <c r="EK52" s="98"/>
      <c r="EL52" s="98"/>
      <c r="EM52" s="98"/>
      <c r="EN52" s="98"/>
      <c r="EO52" s="98"/>
      <c r="EP52" s="98"/>
      <c r="EQ52" s="98"/>
      <c r="ER52" s="98"/>
      <c r="ES52" s="98"/>
      <c r="ET52" s="98"/>
      <c r="EU52" s="98"/>
      <c r="EV52" s="98"/>
      <c r="EW52" s="98"/>
      <c r="EX52" s="98"/>
      <c r="EY52" s="98"/>
      <c r="EZ52" s="98"/>
      <c r="FA52" s="98"/>
      <c r="FB52" s="98"/>
      <c r="FC52" s="98"/>
      <c r="FD52" s="98"/>
      <c r="FE52" s="98"/>
      <c r="FF52" s="98"/>
      <c r="FG52" s="98"/>
      <c r="FH52" s="98"/>
      <c r="FI52" s="98"/>
      <c r="FJ52" s="98"/>
      <c r="FK52" s="98"/>
      <c r="FL52" s="98"/>
      <c r="FM52" s="98"/>
      <c r="FN52" s="98"/>
      <c r="FO52" s="98"/>
      <c r="FP52" s="9"/>
      <c r="FQ52" s="9"/>
      <c r="FR52" s="9"/>
      <c r="FS52" s="9"/>
      <c r="FT52" s="9"/>
      <c r="FU52" s="9"/>
      <c r="FV52" s="9"/>
      <c r="FW52" s="9"/>
      <c r="FX52" s="9"/>
      <c r="FY52" s="9"/>
      <c r="FZ52" s="9"/>
      <c r="GA52" s="9"/>
      <c r="GB52" s="9"/>
      <c r="GC52" s="9"/>
      <c r="GD52" s="9"/>
      <c r="GE52" s="9"/>
      <c r="GF52" s="9"/>
      <c r="GG52" s="9"/>
      <c r="GH52" s="9"/>
      <c r="GI52" s="9"/>
      <c r="GJ52" s="9"/>
    </row>
    <row r="53" spans="1:192" s="93" customFormat="1" ht="31.5" hidden="1">
      <c r="A53" s="104">
        <f>COUNTA($D$4:D53)</f>
        <v>39</v>
      </c>
      <c r="B53" s="105" t="s">
        <v>245</v>
      </c>
      <c r="C53" s="101" t="s">
        <v>12</v>
      </c>
      <c r="D53" s="106">
        <v>551.3325000000001</v>
      </c>
      <c r="E53" s="106">
        <f t="shared" si="8"/>
        <v>293.86022250000002</v>
      </c>
      <c r="F53" s="106">
        <f t="shared" si="9"/>
        <v>257.47227750000008</v>
      </c>
      <c r="G53" s="108"/>
      <c r="H53" s="98"/>
      <c r="I53" s="98"/>
      <c r="J53" s="98"/>
      <c r="K53" s="98"/>
      <c r="L53" s="98"/>
      <c r="M53" s="98"/>
      <c r="N53" s="98"/>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c r="AV53" s="98"/>
      <c r="AW53" s="98"/>
      <c r="AX53" s="98"/>
      <c r="AY53" s="98"/>
      <c r="AZ53" s="98"/>
      <c r="BA53" s="98"/>
      <c r="BB53" s="98"/>
      <c r="BC53" s="98"/>
      <c r="BD53" s="98"/>
      <c r="BE53" s="98"/>
      <c r="BF53" s="98"/>
      <c r="BG53" s="98"/>
      <c r="BH53" s="98"/>
      <c r="BI53" s="98"/>
      <c r="BJ53" s="98"/>
      <c r="BK53" s="98"/>
      <c r="BL53" s="98"/>
      <c r="BM53" s="98"/>
      <c r="BN53" s="98"/>
      <c r="BO53" s="98"/>
      <c r="BP53" s="98"/>
      <c r="BQ53" s="98"/>
      <c r="BR53" s="98"/>
      <c r="BS53" s="98"/>
      <c r="BT53" s="98"/>
      <c r="BU53" s="98"/>
      <c r="BV53" s="98"/>
      <c r="BW53" s="98"/>
      <c r="BX53" s="98"/>
      <c r="BY53" s="98"/>
      <c r="BZ53" s="98"/>
      <c r="CA53" s="98"/>
      <c r="CB53" s="98"/>
      <c r="CC53" s="98"/>
      <c r="CD53" s="98"/>
      <c r="CE53" s="98"/>
      <c r="CF53" s="98"/>
      <c r="CG53" s="98"/>
      <c r="CH53" s="98"/>
      <c r="CI53" s="98"/>
      <c r="CJ53" s="98"/>
      <c r="CK53" s="98"/>
      <c r="CL53" s="98"/>
      <c r="CM53" s="98"/>
      <c r="CN53" s="98"/>
      <c r="CO53" s="98"/>
      <c r="CP53" s="98"/>
      <c r="CQ53" s="98"/>
      <c r="CR53" s="98"/>
      <c r="CS53" s="98"/>
      <c r="CT53" s="98"/>
      <c r="CU53" s="98"/>
      <c r="CV53" s="98"/>
      <c r="CW53" s="98"/>
      <c r="CX53" s="98"/>
      <c r="CY53" s="98"/>
      <c r="CZ53" s="98"/>
      <c r="DA53" s="98"/>
      <c r="DB53" s="98"/>
      <c r="DC53" s="98"/>
      <c r="DD53" s="98"/>
      <c r="DE53" s="98"/>
      <c r="DF53" s="98"/>
      <c r="DG53" s="98"/>
      <c r="DH53" s="98"/>
      <c r="DI53" s="98"/>
      <c r="DJ53" s="98"/>
      <c r="DK53" s="98"/>
      <c r="DL53" s="98"/>
      <c r="DM53" s="98"/>
      <c r="DN53" s="98"/>
      <c r="DO53" s="98"/>
      <c r="DP53" s="98"/>
      <c r="DQ53" s="98"/>
      <c r="DR53" s="98"/>
      <c r="DS53" s="98"/>
      <c r="DT53" s="98"/>
      <c r="DU53" s="98"/>
      <c r="DV53" s="98"/>
      <c r="DW53" s="98"/>
      <c r="DX53" s="98"/>
      <c r="DY53" s="98"/>
      <c r="DZ53" s="98"/>
      <c r="EA53" s="98"/>
      <c r="EB53" s="98"/>
      <c r="EC53" s="98"/>
      <c r="ED53" s="98"/>
      <c r="EE53" s="98"/>
      <c r="EF53" s="98"/>
      <c r="EG53" s="98"/>
      <c r="EH53" s="98"/>
      <c r="EI53" s="98"/>
      <c r="EJ53" s="98"/>
      <c r="EK53" s="98"/>
      <c r="EL53" s="98"/>
      <c r="EM53" s="98"/>
      <c r="EN53" s="98"/>
      <c r="EO53" s="98"/>
      <c r="EP53" s="98"/>
      <c r="EQ53" s="98"/>
      <c r="ER53" s="98"/>
      <c r="ES53" s="98"/>
      <c r="ET53" s="98"/>
      <c r="EU53" s="98"/>
      <c r="EV53" s="98"/>
      <c r="EW53" s="98"/>
      <c r="EX53" s="98"/>
      <c r="EY53" s="98"/>
      <c r="EZ53" s="98"/>
      <c r="FA53" s="98"/>
      <c r="FB53" s="98"/>
      <c r="FC53" s="98"/>
      <c r="FD53" s="98"/>
      <c r="FE53" s="98"/>
      <c r="FF53" s="98"/>
      <c r="FG53" s="98"/>
      <c r="FH53" s="98"/>
      <c r="FI53" s="98"/>
      <c r="FJ53" s="98"/>
      <c r="FK53" s="98"/>
      <c r="FL53" s="98"/>
      <c r="FM53" s="98"/>
      <c r="FN53" s="98"/>
      <c r="FO53" s="98"/>
      <c r="FP53" s="9"/>
      <c r="FQ53" s="9"/>
      <c r="FR53" s="9"/>
      <c r="FS53" s="9"/>
      <c r="FT53" s="9"/>
      <c r="FU53" s="9"/>
      <c r="FV53" s="9"/>
      <c r="FW53" s="9"/>
      <c r="FX53" s="9"/>
      <c r="FY53" s="9"/>
      <c r="FZ53" s="9"/>
      <c r="GA53" s="9"/>
      <c r="GB53" s="9"/>
      <c r="GC53" s="9"/>
      <c r="GD53" s="9"/>
      <c r="GE53" s="9"/>
      <c r="GF53" s="9"/>
      <c r="GG53" s="9"/>
      <c r="GH53" s="9"/>
      <c r="GI53" s="9"/>
      <c r="GJ53" s="9"/>
    </row>
    <row r="54" spans="1:192" s="93" customFormat="1" ht="47.25" hidden="1">
      <c r="A54" s="104">
        <f>COUNTA($D$4:D54)</f>
        <v>40</v>
      </c>
      <c r="B54" s="105" t="s">
        <v>246</v>
      </c>
      <c r="C54" s="101" t="s">
        <v>12</v>
      </c>
      <c r="D54" s="106">
        <v>6365.6200000000008</v>
      </c>
      <c r="E54" s="106">
        <f t="shared" si="8"/>
        <v>3392.8754599999997</v>
      </c>
      <c r="F54" s="106">
        <f t="shared" si="9"/>
        <v>2972.7445400000006</v>
      </c>
      <c r="G54" s="108"/>
      <c r="H54" s="98"/>
      <c r="I54" s="98"/>
      <c r="J54" s="98"/>
      <c r="K54" s="98"/>
      <c r="L54" s="98"/>
      <c r="M54" s="98"/>
      <c r="N54" s="98"/>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c r="AV54" s="98"/>
      <c r="AW54" s="98"/>
      <c r="AX54" s="98"/>
      <c r="AY54" s="98"/>
      <c r="AZ54" s="98"/>
      <c r="BA54" s="98"/>
      <c r="BB54" s="98"/>
      <c r="BC54" s="98"/>
      <c r="BD54" s="98"/>
      <c r="BE54" s="98"/>
      <c r="BF54" s="98"/>
      <c r="BG54" s="98"/>
      <c r="BH54" s="98"/>
      <c r="BI54" s="98"/>
      <c r="BJ54" s="98"/>
      <c r="BK54" s="98"/>
      <c r="BL54" s="98"/>
      <c r="BM54" s="98"/>
      <c r="BN54" s="98"/>
      <c r="BO54" s="98"/>
      <c r="BP54" s="98"/>
      <c r="BQ54" s="98"/>
      <c r="BR54" s="98"/>
      <c r="BS54" s="98"/>
      <c r="BT54" s="98"/>
      <c r="BU54" s="98"/>
      <c r="BV54" s="98"/>
      <c r="BW54" s="98"/>
      <c r="BX54" s="98"/>
      <c r="BY54" s="98"/>
      <c r="BZ54" s="98"/>
      <c r="CA54" s="98"/>
      <c r="CB54" s="98"/>
      <c r="CC54" s="98"/>
      <c r="CD54" s="98"/>
      <c r="CE54" s="98"/>
      <c r="CF54" s="98"/>
      <c r="CG54" s="98"/>
      <c r="CH54" s="98"/>
      <c r="CI54" s="98"/>
      <c r="CJ54" s="98"/>
      <c r="CK54" s="98"/>
      <c r="CL54" s="98"/>
      <c r="CM54" s="98"/>
      <c r="CN54" s="98"/>
      <c r="CO54" s="98"/>
      <c r="CP54" s="98"/>
      <c r="CQ54" s="98"/>
      <c r="CR54" s="98"/>
      <c r="CS54" s="98"/>
      <c r="CT54" s="98"/>
      <c r="CU54" s="98"/>
      <c r="CV54" s="98"/>
      <c r="CW54" s="98"/>
      <c r="CX54" s="98"/>
      <c r="CY54" s="98"/>
      <c r="CZ54" s="98"/>
      <c r="DA54" s="98"/>
      <c r="DB54" s="98"/>
      <c r="DC54" s="98"/>
      <c r="DD54" s="98"/>
      <c r="DE54" s="98"/>
      <c r="DF54" s="98"/>
      <c r="DG54" s="98"/>
      <c r="DH54" s="98"/>
      <c r="DI54" s="98"/>
      <c r="DJ54" s="98"/>
      <c r="DK54" s="98"/>
      <c r="DL54" s="98"/>
      <c r="DM54" s="98"/>
      <c r="DN54" s="98"/>
      <c r="DO54" s="98"/>
      <c r="DP54" s="98"/>
      <c r="DQ54" s="98"/>
      <c r="DR54" s="98"/>
      <c r="DS54" s="98"/>
      <c r="DT54" s="98"/>
      <c r="DU54" s="98"/>
      <c r="DV54" s="98"/>
      <c r="DW54" s="98"/>
      <c r="DX54" s="98"/>
      <c r="DY54" s="98"/>
      <c r="DZ54" s="98"/>
      <c r="EA54" s="98"/>
      <c r="EB54" s="98"/>
      <c r="EC54" s="98"/>
      <c r="ED54" s="98"/>
      <c r="EE54" s="98"/>
      <c r="EF54" s="98"/>
      <c r="EG54" s="98"/>
      <c r="EH54" s="98"/>
      <c r="EI54" s="98"/>
      <c r="EJ54" s="98"/>
      <c r="EK54" s="98"/>
      <c r="EL54" s="98"/>
      <c r="EM54" s="98"/>
      <c r="EN54" s="98"/>
      <c r="EO54" s="98"/>
      <c r="EP54" s="98"/>
      <c r="EQ54" s="98"/>
      <c r="ER54" s="98"/>
      <c r="ES54" s="98"/>
      <c r="ET54" s="98"/>
      <c r="EU54" s="98"/>
      <c r="EV54" s="98"/>
      <c r="EW54" s="98"/>
      <c r="EX54" s="98"/>
      <c r="EY54" s="98"/>
      <c r="EZ54" s="98"/>
      <c r="FA54" s="98"/>
      <c r="FB54" s="98"/>
      <c r="FC54" s="98"/>
      <c r="FD54" s="98"/>
      <c r="FE54" s="98"/>
      <c r="FF54" s="98"/>
      <c r="FG54" s="98"/>
      <c r="FH54" s="98"/>
      <c r="FI54" s="98"/>
      <c r="FJ54" s="98"/>
      <c r="FK54" s="98"/>
      <c r="FL54" s="98"/>
      <c r="FM54" s="98"/>
      <c r="FN54" s="98"/>
      <c r="FO54" s="98"/>
      <c r="FP54" s="9"/>
      <c r="FQ54" s="9"/>
      <c r="FR54" s="9"/>
      <c r="FS54" s="9"/>
      <c r="FT54" s="9"/>
      <c r="FU54" s="9"/>
      <c r="FV54" s="9"/>
      <c r="FW54" s="9"/>
      <c r="FX54" s="9"/>
      <c r="FY54" s="9"/>
      <c r="FZ54" s="9"/>
      <c r="GA54" s="9"/>
      <c r="GB54" s="9"/>
      <c r="GC54" s="9"/>
      <c r="GD54" s="9"/>
      <c r="GE54" s="9"/>
      <c r="GF54" s="9"/>
      <c r="GG54" s="9"/>
      <c r="GH54" s="9"/>
      <c r="GI54" s="9"/>
      <c r="GJ54" s="9"/>
    </row>
    <row r="55" spans="1:192" s="93" customFormat="1" ht="47.25" hidden="1">
      <c r="A55" s="104">
        <f>COUNTA($D$4:D55)</f>
        <v>41</v>
      </c>
      <c r="B55" s="105" t="s">
        <v>247</v>
      </c>
      <c r="C55" s="101" t="s">
        <v>12</v>
      </c>
      <c r="D55" s="106">
        <v>9388.8000000000011</v>
      </c>
      <c r="E55" s="106">
        <f t="shared" si="8"/>
        <v>5004.2303999999995</v>
      </c>
      <c r="F55" s="106">
        <f t="shared" si="9"/>
        <v>4384.5696000000007</v>
      </c>
      <c r="G55" s="111"/>
      <c r="H55" s="98"/>
      <c r="I55" s="98"/>
      <c r="J55" s="98"/>
      <c r="K55" s="98"/>
      <c r="L55" s="98"/>
      <c r="M55" s="98"/>
      <c r="N55" s="98"/>
      <c r="O55" s="98"/>
      <c r="P55" s="98"/>
      <c r="Q55" s="98"/>
      <c r="R55" s="98"/>
      <c r="S55" s="98"/>
      <c r="T55" s="98"/>
      <c r="U55" s="98"/>
      <c r="V55" s="98"/>
      <c r="W55" s="98"/>
      <c r="X55" s="98"/>
      <c r="Y55" s="98"/>
      <c r="Z55" s="98"/>
      <c r="AA55" s="98"/>
      <c r="AB55" s="98"/>
      <c r="AC55" s="98"/>
      <c r="AD55" s="98"/>
      <c r="AE55" s="98"/>
      <c r="AF55" s="98"/>
      <c r="AG55" s="98"/>
      <c r="AH55" s="98"/>
      <c r="AI55" s="98"/>
      <c r="AJ55" s="98"/>
      <c r="AK55" s="98"/>
      <c r="AL55" s="98"/>
      <c r="AM55" s="98"/>
      <c r="AN55" s="98"/>
      <c r="AO55" s="98"/>
      <c r="AP55" s="98"/>
      <c r="AQ55" s="98"/>
      <c r="AR55" s="98"/>
      <c r="AS55" s="98"/>
      <c r="AT55" s="98"/>
      <c r="AU55" s="98"/>
      <c r="AV55" s="98"/>
      <c r="AW55" s="98"/>
      <c r="AX55" s="98"/>
      <c r="AY55" s="98"/>
      <c r="AZ55" s="98"/>
      <c r="BA55" s="98"/>
      <c r="BB55" s="98"/>
      <c r="BC55" s="98"/>
      <c r="BD55" s="98"/>
      <c r="BE55" s="98"/>
      <c r="BF55" s="98"/>
      <c r="BG55" s="98"/>
      <c r="BH55" s="98"/>
      <c r="BI55" s="98"/>
      <c r="BJ55" s="98"/>
      <c r="BK55" s="98"/>
      <c r="BL55" s="98"/>
      <c r="BM55" s="98"/>
      <c r="BN55" s="98"/>
      <c r="BO55" s="98"/>
      <c r="BP55" s="98"/>
      <c r="BQ55" s="98"/>
      <c r="BR55" s="98"/>
      <c r="BS55" s="98"/>
      <c r="BT55" s="98"/>
      <c r="BU55" s="98"/>
      <c r="BV55" s="98"/>
      <c r="BW55" s="98"/>
      <c r="BX55" s="98"/>
      <c r="BY55" s="98"/>
      <c r="BZ55" s="98"/>
      <c r="CA55" s="98"/>
      <c r="CB55" s="98"/>
      <c r="CC55" s="98"/>
      <c r="CD55" s="98"/>
      <c r="CE55" s="98"/>
      <c r="CF55" s="98"/>
      <c r="CG55" s="98"/>
      <c r="CH55" s="98"/>
      <c r="CI55" s="98"/>
      <c r="CJ55" s="98"/>
      <c r="CK55" s="98"/>
      <c r="CL55" s="98"/>
      <c r="CM55" s="98"/>
      <c r="CN55" s="98"/>
      <c r="CO55" s="98"/>
      <c r="CP55" s="98"/>
      <c r="CQ55" s="98"/>
      <c r="CR55" s="98"/>
      <c r="CS55" s="98"/>
      <c r="CT55" s="98"/>
      <c r="CU55" s="98"/>
      <c r="CV55" s="98"/>
      <c r="CW55" s="98"/>
      <c r="CX55" s="98"/>
      <c r="CY55" s="98"/>
      <c r="CZ55" s="98"/>
      <c r="DA55" s="98"/>
      <c r="DB55" s="98"/>
      <c r="DC55" s="98"/>
      <c r="DD55" s="98"/>
      <c r="DE55" s="98"/>
      <c r="DF55" s="98"/>
      <c r="DG55" s="98"/>
      <c r="DH55" s="98"/>
      <c r="DI55" s="98"/>
      <c r="DJ55" s="98"/>
      <c r="DK55" s="98"/>
      <c r="DL55" s="98"/>
      <c r="DM55" s="98"/>
      <c r="DN55" s="98"/>
      <c r="DO55" s="98"/>
      <c r="DP55" s="98"/>
      <c r="DQ55" s="98"/>
      <c r="DR55" s="98"/>
      <c r="DS55" s="98"/>
      <c r="DT55" s="98"/>
      <c r="DU55" s="98"/>
      <c r="DV55" s="98"/>
      <c r="DW55" s="98"/>
      <c r="DX55" s="98"/>
      <c r="DY55" s="98"/>
      <c r="DZ55" s="98"/>
      <c r="EA55" s="98"/>
      <c r="EB55" s="98"/>
      <c r="EC55" s="98"/>
      <c r="ED55" s="98"/>
      <c r="EE55" s="98"/>
      <c r="EF55" s="98"/>
      <c r="EG55" s="98"/>
      <c r="EH55" s="98"/>
      <c r="EI55" s="98"/>
      <c r="EJ55" s="98"/>
      <c r="EK55" s="98"/>
      <c r="EL55" s="98"/>
      <c r="EM55" s="98"/>
      <c r="EN55" s="98"/>
      <c r="EO55" s="98"/>
      <c r="EP55" s="98"/>
      <c r="EQ55" s="98"/>
      <c r="ER55" s="98"/>
      <c r="ES55" s="98"/>
      <c r="ET55" s="98"/>
      <c r="EU55" s="98"/>
      <c r="EV55" s="98"/>
      <c r="EW55" s="98"/>
      <c r="EX55" s="98"/>
      <c r="EY55" s="98"/>
      <c r="EZ55" s="98"/>
      <c r="FA55" s="98"/>
      <c r="FB55" s="98"/>
      <c r="FC55" s="98"/>
      <c r="FD55" s="98"/>
      <c r="FE55" s="98"/>
      <c r="FF55" s="98"/>
      <c r="FG55" s="98"/>
      <c r="FH55" s="98"/>
      <c r="FI55" s="98"/>
      <c r="FJ55" s="98"/>
      <c r="FK55" s="98"/>
      <c r="FL55" s="98"/>
      <c r="FM55" s="98"/>
      <c r="FN55" s="98"/>
      <c r="FO55" s="98"/>
      <c r="FP55" s="9"/>
      <c r="FQ55" s="9"/>
      <c r="FR55" s="9"/>
      <c r="FS55" s="9"/>
      <c r="FT55" s="9"/>
      <c r="FU55" s="9"/>
      <c r="FV55" s="9"/>
      <c r="FW55" s="9"/>
      <c r="FX55" s="9"/>
      <c r="FY55" s="9"/>
      <c r="FZ55" s="9"/>
      <c r="GA55" s="9"/>
      <c r="GB55" s="9"/>
      <c r="GC55" s="9"/>
      <c r="GD55" s="9"/>
      <c r="GE55" s="9"/>
      <c r="GF55" s="9"/>
      <c r="GG55" s="9"/>
      <c r="GH55" s="9"/>
      <c r="GI55" s="9"/>
      <c r="GJ55" s="9"/>
    </row>
    <row r="56" spans="1:192" s="93" customFormat="1" ht="42" hidden="1" customHeight="1">
      <c r="A56" s="104">
        <f>COUNTA($D$4:D56)</f>
        <v>42</v>
      </c>
      <c r="B56" s="105" t="s">
        <v>248</v>
      </c>
      <c r="C56" s="101" t="s">
        <v>12</v>
      </c>
      <c r="D56" s="106">
        <v>297.95720000000006</v>
      </c>
      <c r="E56" s="106">
        <f t="shared" si="8"/>
        <v>158.81118760000001</v>
      </c>
      <c r="F56" s="106">
        <f t="shared" si="9"/>
        <v>139.14601240000005</v>
      </c>
      <c r="G56" s="108"/>
      <c r="H56" s="98"/>
      <c r="I56" s="98"/>
      <c r="J56" s="98"/>
      <c r="K56" s="98"/>
      <c r="L56" s="98"/>
      <c r="M56" s="98"/>
      <c r="N56" s="98"/>
      <c r="O56" s="98"/>
      <c r="P56" s="98"/>
      <c r="Q56" s="98"/>
      <c r="R56" s="98"/>
      <c r="S56" s="98"/>
      <c r="T56" s="98"/>
      <c r="U56" s="98"/>
      <c r="V56" s="98"/>
      <c r="W56" s="98"/>
      <c r="X56" s="98"/>
      <c r="Y56" s="98"/>
      <c r="Z56" s="98"/>
      <c r="AA56" s="98"/>
      <c r="AB56" s="98"/>
      <c r="AC56" s="98"/>
      <c r="AD56" s="98"/>
      <c r="AE56" s="98"/>
      <c r="AF56" s="98"/>
      <c r="AG56" s="98"/>
      <c r="AH56" s="98"/>
      <c r="AI56" s="98"/>
      <c r="AJ56" s="98"/>
      <c r="AK56" s="98"/>
      <c r="AL56" s="98"/>
      <c r="AM56" s="98"/>
      <c r="AN56" s="98"/>
      <c r="AO56" s="98"/>
      <c r="AP56" s="98"/>
      <c r="AQ56" s="98"/>
      <c r="AR56" s="98"/>
      <c r="AS56" s="98"/>
      <c r="AT56" s="98"/>
      <c r="AU56" s="98"/>
      <c r="AV56" s="98"/>
      <c r="AW56" s="98"/>
      <c r="AX56" s="98"/>
      <c r="AY56" s="98"/>
      <c r="AZ56" s="98"/>
      <c r="BA56" s="98"/>
      <c r="BB56" s="98"/>
      <c r="BC56" s="98"/>
      <c r="BD56" s="98"/>
      <c r="BE56" s="98"/>
      <c r="BF56" s="98"/>
      <c r="BG56" s="98"/>
      <c r="BH56" s="98"/>
      <c r="BI56" s="98"/>
      <c r="BJ56" s="98"/>
      <c r="BK56" s="98"/>
      <c r="BL56" s="98"/>
      <c r="BM56" s="98"/>
      <c r="BN56" s="98"/>
      <c r="BO56" s="98"/>
      <c r="BP56" s="98"/>
      <c r="BQ56" s="98"/>
      <c r="BR56" s="98"/>
      <c r="BS56" s="98"/>
      <c r="BT56" s="98"/>
      <c r="BU56" s="98"/>
      <c r="BV56" s="98"/>
      <c r="BW56" s="98"/>
      <c r="BX56" s="98"/>
      <c r="BY56" s="98"/>
      <c r="BZ56" s="98"/>
      <c r="CA56" s="98"/>
      <c r="CB56" s="98"/>
      <c r="CC56" s="98"/>
      <c r="CD56" s="98"/>
      <c r="CE56" s="98"/>
      <c r="CF56" s="98"/>
      <c r="CG56" s="98"/>
      <c r="CH56" s="98"/>
      <c r="CI56" s="98"/>
      <c r="CJ56" s="98"/>
      <c r="CK56" s="98"/>
      <c r="CL56" s="98"/>
      <c r="CM56" s="98"/>
      <c r="CN56" s="98"/>
      <c r="CO56" s="98"/>
      <c r="CP56" s="98"/>
      <c r="CQ56" s="98"/>
      <c r="CR56" s="98"/>
      <c r="CS56" s="98"/>
      <c r="CT56" s="98"/>
      <c r="CU56" s="98"/>
      <c r="CV56" s="98"/>
      <c r="CW56" s="98"/>
      <c r="CX56" s="98"/>
      <c r="CY56" s="98"/>
      <c r="CZ56" s="98"/>
      <c r="DA56" s="98"/>
      <c r="DB56" s="98"/>
      <c r="DC56" s="98"/>
      <c r="DD56" s="98"/>
      <c r="DE56" s="98"/>
      <c r="DF56" s="98"/>
      <c r="DG56" s="98"/>
      <c r="DH56" s="98"/>
      <c r="DI56" s="98"/>
      <c r="DJ56" s="98"/>
      <c r="DK56" s="98"/>
      <c r="DL56" s="98"/>
      <c r="DM56" s="98"/>
      <c r="DN56" s="98"/>
      <c r="DO56" s="98"/>
      <c r="DP56" s="98"/>
      <c r="DQ56" s="98"/>
      <c r="DR56" s="98"/>
      <c r="DS56" s="98"/>
      <c r="DT56" s="98"/>
      <c r="DU56" s="98"/>
      <c r="DV56" s="98"/>
      <c r="DW56" s="98"/>
      <c r="DX56" s="98"/>
      <c r="DY56" s="98"/>
      <c r="DZ56" s="98"/>
      <c r="EA56" s="98"/>
      <c r="EB56" s="98"/>
      <c r="EC56" s="98"/>
      <c r="ED56" s="98"/>
      <c r="EE56" s="98"/>
      <c r="EF56" s="98"/>
      <c r="EG56" s="98"/>
      <c r="EH56" s="98"/>
      <c r="EI56" s="98"/>
      <c r="EJ56" s="98"/>
      <c r="EK56" s="98"/>
      <c r="EL56" s="98"/>
      <c r="EM56" s="98"/>
      <c r="EN56" s="98"/>
      <c r="EO56" s="98"/>
      <c r="EP56" s="98"/>
      <c r="EQ56" s="98"/>
      <c r="ER56" s="98"/>
      <c r="ES56" s="98"/>
      <c r="ET56" s="98"/>
      <c r="EU56" s="98"/>
      <c r="EV56" s="98"/>
      <c r="EW56" s="98"/>
      <c r="EX56" s="98"/>
      <c r="EY56" s="98"/>
      <c r="EZ56" s="98"/>
      <c r="FA56" s="98"/>
      <c r="FB56" s="98"/>
      <c r="FC56" s="98"/>
      <c r="FD56" s="98"/>
      <c r="FE56" s="98"/>
      <c r="FF56" s="98"/>
      <c r="FG56" s="98"/>
      <c r="FH56" s="98"/>
      <c r="FI56" s="98"/>
      <c r="FJ56" s="98"/>
      <c r="FK56" s="98"/>
      <c r="FL56" s="98"/>
      <c r="FM56" s="98"/>
      <c r="FN56" s="98"/>
      <c r="FO56" s="98"/>
      <c r="FP56" s="9"/>
      <c r="FQ56" s="9"/>
      <c r="FR56" s="9"/>
      <c r="FS56" s="9"/>
      <c r="FT56" s="9"/>
      <c r="FU56" s="9"/>
      <c r="FV56" s="9"/>
      <c r="FW56" s="9"/>
      <c r="FX56" s="9"/>
      <c r="FY56" s="9"/>
      <c r="FZ56" s="9"/>
      <c r="GA56" s="9"/>
      <c r="GB56" s="9"/>
      <c r="GC56" s="9"/>
      <c r="GD56" s="9"/>
      <c r="GE56" s="9"/>
      <c r="GF56" s="9"/>
      <c r="GG56" s="9"/>
      <c r="GH56" s="9"/>
      <c r="GI56" s="9"/>
      <c r="GJ56" s="9"/>
    </row>
    <row r="57" spans="1:192" s="93" customFormat="1" ht="47.25" hidden="1">
      <c r="A57" s="104">
        <f>COUNTA($D$4:D57)</f>
        <v>43</v>
      </c>
      <c r="B57" s="105" t="s">
        <v>249</v>
      </c>
      <c r="C57" s="101" t="s">
        <v>12</v>
      </c>
      <c r="D57" s="106">
        <v>23696.021999999997</v>
      </c>
      <c r="E57" s="106">
        <f t="shared" si="8"/>
        <v>12629.979725999996</v>
      </c>
      <c r="F57" s="106">
        <f t="shared" si="9"/>
        <v>11066.042273999999</v>
      </c>
      <c r="G57" s="108"/>
      <c r="H57" s="98"/>
      <c r="I57" s="98"/>
      <c r="J57" s="98"/>
      <c r="K57" s="98"/>
      <c r="L57" s="98"/>
      <c r="M57" s="98"/>
      <c r="N57" s="98"/>
      <c r="O57" s="98"/>
      <c r="P57" s="98"/>
      <c r="Q57" s="98"/>
      <c r="R57" s="98"/>
      <c r="S57" s="98"/>
      <c r="T57" s="98"/>
      <c r="U57" s="98"/>
      <c r="V57" s="98"/>
      <c r="W57" s="98"/>
      <c r="X57" s="98"/>
      <c r="Y57" s="98"/>
      <c r="Z57" s="98"/>
      <c r="AA57" s="98"/>
      <c r="AB57" s="98"/>
      <c r="AC57" s="98"/>
      <c r="AD57" s="98"/>
      <c r="AE57" s="98"/>
      <c r="AF57" s="98"/>
      <c r="AG57" s="98"/>
      <c r="AH57" s="98"/>
      <c r="AI57" s="98"/>
      <c r="AJ57" s="98"/>
      <c r="AK57" s="98"/>
      <c r="AL57" s="98"/>
      <c r="AM57" s="98"/>
      <c r="AN57" s="98"/>
      <c r="AO57" s="98"/>
      <c r="AP57" s="98"/>
      <c r="AQ57" s="98"/>
      <c r="AR57" s="98"/>
      <c r="AS57" s="98"/>
      <c r="AT57" s="98"/>
      <c r="AU57" s="98"/>
      <c r="AV57" s="98"/>
      <c r="AW57" s="98"/>
      <c r="AX57" s="98"/>
      <c r="AY57" s="98"/>
      <c r="AZ57" s="98"/>
      <c r="BA57" s="98"/>
      <c r="BB57" s="98"/>
      <c r="BC57" s="98"/>
      <c r="BD57" s="98"/>
      <c r="BE57" s="98"/>
      <c r="BF57" s="98"/>
      <c r="BG57" s="98"/>
      <c r="BH57" s="98"/>
      <c r="BI57" s="98"/>
      <c r="BJ57" s="98"/>
      <c r="BK57" s="98"/>
      <c r="BL57" s="98"/>
      <c r="BM57" s="98"/>
      <c r="BN57" s="98"/>
      <c r="BO57" s="98"/>
      <c r="BP57" s="98"/>
      <c r="BQ57" s="98"/>
      <c r="BR57" s="98"/>
      <c r="BS57" s="98"/>
      <c r="BT57" s="98"/>
      <c r="BU57" s="98"/>
      <c r="BV57" s="98"/>
      <c r="BW57" s="98"/>
      <c r="BX57" s="98"/>
      <c r="BY57" s="98"/>
      <c r="BZ57" s="98"/>
      <c r="CA57" s="98"/>
      <c r="CB57" s="98"/>
      <c r="CC57" s="98"/>
      <c r="CD57" s="98"/>
      <c r="CE57" s="98"/>
      <c r="CF57" s="98"/>
      <c r="CG57" s="98"/>
      <c r="CH57" s="98"/>
      <c r="CI57" s="98"/>
      <c r="CJ57" s="98"/>
      <c r="CK57" s="98"/>
      <c r="CL57" s="98"/>
      <c r="CM57" s="98"/>
      <c r="CN57" s="98"/>
      <c r="CO57" s="98"/>
      <c r="CP57" s="98"/>
      <c r="CQ57" s="98"/>
      <c r="CR57" s="98"/>
      <c r="CS57" s="98"/>
      <c r="CT57" s="98"/>
      <c r="CU57" s="98"/>
      <c r="CV57" s="98"/>
      <c r="CW57" s="98"/>
      <c r="CX57" s="98"/>
      <c r="CY57" s="98"/>
      <c r="CZ57" s="98"/>
      <c r="DA57" s="98"/>
      <c r="DB57" s="98"/>
      <c r="DC57" s="98"/>
      <c r="DD57" s="98"/>
      <c r="DE57" s="98"/>
      <c r="DF57" s="98"/>
      <c r="DG57" s="98"/>
      <c r="DH57" s="98"/>
      <c r="DI57" s="98"/>
      <c r="DJ57" s="98"/>
      <c r="DK57" s="98"/>
      <c r="DL57" s="98"/>
      <c r="DM57" s="98"/>
      <c r="DN57" s="98"/>
      <c r="DO57" s="98"/>
      <c r="DP57" s="98"/>
      <c r="DQ57" s="98"/>
      <c r="DR57" s="98"/>
      <c r="DS57" s="98"/>
      <c r="DT57" s="98"/>
      <c r="DU57" s="98"/>
      <c r="DV57" s="98"/>
      <c r="DW57" s="98"/>
      <c r="DX57" s="98"/>
      <c r="DY57" s="98"/>
      <c r="DZ57" s="98"/>
      <c r="EA57" s="98"/>
      <c r="EB57" s="98"/>
      <c r="EC57" s="98"/>
      <c r="ED57" s="98"/>
      <c r="EE57" s="98"/>
      <c r="EF57" s="98"/>
      <c r="EG57" s="98"/>
      <c r="EH57" s="98"/>
      <c r="EI57" s="98"/>
      <c r="EJ57" s="98"/>
      <c r="EK57" s="98"/>
      <c r="EL57" s="98"/>
      <c r="EM57" s="98"/>
      <c r="EN57" s="98"/>
      <c r="EO57" s="98"/>
      <c r="EP57" s="98"/>
      <c r="EQ57" s="98"/>
      <c r="ER57" s="98"/>
      <c r="ES57" s="98"/>
      <c r="ET57" s="98"/>
      <c r="EU57" s="98"/>
      <c r="EV57" s="98"/>
      <c r="EW57" s="98"/>
      <c r="EX57" s="98"/>
      <c r="EY57" s="98"/>
      <c r="EZ57" s="98"/>
      <c r="FA57" s="98"/>
      <c r="FB57" s="98"/>
      <c r="FC57" s="98"/>
      <c r="FD57" s="98"/>
      <c r="FE57" s="98"/>
      <c r="FF57" s="98"/>
      <c r="FG57" s="98"/>
      <c r="FH57" s="98"/>
      <c r="FI57" s="98"/>
      <c r="FJ57" s="98"/>
      <c r="FK57" s="98"/>
      <c r="FL57" s="98"/>
      <c r="FM57" s="98"/>
      <c r="FN57" s="98"/>
      <c r="FO57" s="98"/>
      <c r="FP57" s="9"/>
      <c r="FQ57" s="9"/>
      <c r="FR57" s="9"/>
      <c r="FS57" s="9"/>
      <c r="FT57" s="9"/>
      <c r="FU57" s="9"/>
      <c r="FV57" s="9"/>
      <c r="FW57" s="9"/>
      <c r="FX57" s="9"/>
      <c r="FY57" s="9"/>
      <c r="FZ57" s="9"/>
      <c r="GA57" s="9"/>
      <c r="GB57" s="9"/>
      <c r="GC57" s="9"/>
      <c r="GD57" s="9"/>
      <c r="GE57" s="9"/>
      <c r="GF57" s="9"/>
      <c r="GG57" s="9"/>
      <c r="GH57" s="9"/>
      <c r="GI57" s="9"/>
      <c r="GJ57" s="9"/>
    </row>
    <row r="58" spans="1:192" s="93" customFormat="1" ht="47.25" hidden="1">
      <c r="A58" s="104">
        <f>COUNTA($D$4:D58)</f>
        <v>44</v>
      </c>
      <c r="B58" s="105" t="s">
        <v>250</v>
      </c>
      <c r="C58" s="101" t="s">
        <v>28</v>
      </c>
      <c r="D58" s="106">
        <v>5695.1899999999987</v>
      </c>
      <c r="E58" s="106">
        <f t="shared" si="8"/>
        <v>3035.5362699999987</v>
      </c>
      <c r="F58" s="106">
        <f t="shared" si="9"/>
        <v>2659.6537299999995</v>
      </c>
      <c r="G58" s="108"/>
      <c r="H58" s="98"/>
      <c r="I58" s="98"/>
      <c r="J58" s="98"/>
      <c r="K58" s="98"/>
      <c r="L58" s="98"/>
      <c r="M58" s="98"/>
      <c r="N58" s="98"/>
      <c r="O58" s="98"/>
      <c r="P58" s="98"/>
      <c r="Q58" s="98"/>
      <c r="R58" s="98"/>
      <c r="S58" s="98"/>
      <c r="T58" s="98"/>
      <c r="U58" s="98"/>
      <c r="V58" s="98"/>
      <c r="W58" s="98"/>
      <c r="X58" s="98"/>
      <c r="Y58" s="98"/>
      <c r="Z58" s="98"/>
      <c r="AA58" s="98"/>
      <c r="AB58" s="98"/>
      <c r="AC58" s="98"/>
      <c r="AD58" s="98"/>
      <c r="AE58" s="98"/>
      <c r="AF58" s="98"/>
      <c r="AG58" s="98"/>
      <c r="AH58" s="98"/>
      <c r="AI58" s="98"/>
      <c r="AJ58" s="98"/>
      <c r="AK58" s="98"/>
      <c r="AL58" s="98"/>
      <c r="AM58" s="98"/>
      <c r="AN58" s="98"/>
      <c r="AO58" s="98"/>
      <c r="AP58" s="98"/>
      <c r="AQ58" s="98"/>
      <c r="AR58" s="98"/>
      <c r="AS58" s="98"/>
      <c r="AT58" s="98"/>
      <c r="AU58" s="98"/>
      <c r="AV58" s="98"/>
      <c r="AW58" s="98"/>
      <c r="AX58" s="98"/>
      <c r="AY58" s="98"/>
      <c r="AZ58" s="98"/>
      <c r="BA58" s="98"/>
      <c r="BB58" s="98"/>
      <c r="BC58" s="98"/>
      <c r="BD58" s="98"/>
      <c r="BE58" s="98"/>
      <c r="BF58" s="98"/>
      <c r="BG58" s="98"/>
      <c r="BH58" s="98"/>
      <c r="BI58" s="98"/>
      <c r="BJ58" s="98"/>
      <c r="BK58" s="98"/>
      <c r="BL58" s="98"/>
      <c r="BM58" s="98"/>
      <c r="BN58" s="98"/>
      <c r="BO58" s="98"/>
      <c r="BP58" s="98"/>
      <c r="BQ58" s="98"/>
      <c r="BR58" s="98"/>
      <c r="BS58" s="98"/>
      <c r="BT58" s="98"/>
      <c r="BU58" s="98"/>
      <c r="BV58" s="98"/>
      <c r="BW58" s="98"/>
      <c r="BX58" s="98"/>
      <c r="BY58" s="98"/>
      <c r="BZ58" s="98"/>
      <c r="CA58" s="98"/>
      <c r="CB58" s="98"/>
      <c r="CC58" s="98"/>
      <c r="CD58" s="98"/>
      <c r="CE58" s="98"/>
      <c r="CF58" s="98"/>
      <c r="CG58" s="98"/>
      <c r="CH58" s="98"/>
      <c r="CI58" s="98"/>
      <c r="CJ58" s="98"/>
      <c r="CK58" s="98"/>
      <c r="CL58" s="98"/>
      <c r="CM58" s="98"/>
      <c r="CN58" s="98"/>
      <c r="CO58" s="98"/>
      <c r="CP58" s="98"/>
      <c r="CQ58" s="98"/>
      <c r="CR58" s="98"/>
      <c r="CS58" s="98"/>
      <c r="CT58" s="98"/>
      <c r="CU58" s="98"/>
      <c r="CV58" s="98"/>
      <c r="CW58" s="98"/>
      <c r="CX58" s="98"/>
      <c r="CY58" s="98"/>
      <c r="CZ58" s="98"/>
      <c r="DA58" s="98"/>
      <c r="DB58" s="98"/>
      <c r="DC58" s="98"/>
      <c r="DD58" s="98"/>
      <c r="DE58" s="98"/>
      <c r="DF58" s="98"/>
      <c r="DG58" s="98"/>
      <c r="DH58" s="98"/>
      <c r="DI58" s="98"/>
      <c r="DJ58" s="98"/>
      <c r="DK58" s="98"/>
      <c r="DL58" s="98"/>
      <c r="DM58" s="98"/>
      <c r="DN58" s="98"/>
      <c r="DO58" s="98"/>
      <c r="DP58" s="98"/>
      <c r="DQ58" s="98"/>
      <c r="DR58" s="98"/>
      <c r="DS58" s="98"/>
      <c r="DT58" s="98"/>
      <c r="DU58" s="98"/>
      <c r="DV58" s="98"/>
      <c r="DW58" s="98"/>
      <c r="DX58" s="98"/>
      <c r="DY58" s="98"/>
      <c r="DZ58" s="98"/>
      <c r="EA58" s="98"/>
      <c r="EB58" s="98"/>
      <c r="EC58" s="98"/>
      <c r="ED58" s="98"/>
      <c r="EE58" s="98"/>
      <c r="EF58" s="98"/>
      <c r="EG58" s="98"/>
      <c r="EH58" s="98"/>
      <c r="EI58" s="98"/>
      <c r="EJ58" s="98"/>
      <c r="EK58" s="98"/>
      <c r="EL58" s="98"/>
      <c r="EM58" s="98"/>
      <c r="EN58" s="98"/>
      <c r="EO58" s="98"/>
      <c r="EP58" s="98"/>
      <c r="EQ58" s="98"/>
      <c r="ER58" s="98"/>
      <c r="ES58" s="98"/>
      <c r="ET58" s="98"/>
      <c r="EU58" s="98"/>
      <c r="EV58" s="98"/>
      <c r="EW58" s="98"/>
      <c r="EX58" s="98"/>
      <c r="EY58" s="98"/>
      <c r="EZ58" s="98"/>
      <c r="FA58" s="98"/>
      <c r="FB58" s="98"/>
      <c r="FC58" s="98"/>
      <c r="FD58" s="98"/>
      <c r="FE58" s="98"/>
      <c r="FF58" s="98"/>
      <c r="FG58" s="98"/>
      <c r="FH58" s="98"/>
      <c r="FI58" s="98"/>
      <c r="FJ58" s="98"/>
      <c r="FK58" s="98"/>
      <c r="FL58" s="98"/>
      <c r="FM58" s="98"/>
      <c r="FN58" s="98"/>
      <c r="FO58" s="98"/>
      <c r="FP58" s="9"/>
      <c r="FQ58" s="9"/>
      <c r="FR58" s="9"/>
      <c r="FS58" s="9"/>
      <c r="FT58" s="9"/>
      <c r="FU58" s="9"/>
      <c r="FV58" s="9"/>
      <c r="FW58" s="9"/>
      <c r="FX58" s="9"/>
      <c r="FY58" s="9"/>
      <c r="FZ58" s="9"/>
      <c r="GA58" s="9"/>
      <c r="GB58" s="9"/>
      <c r="GC58" s="9"/>
      <c r="GD58" s="9"/>
      <c r="GE58" s="9"/>
      <c r="GF58" s="9"/>
      <c r="GG58" s="9"/>
      <c r="GH58" s="9"/>
      <c r="GI58" s="9"/>
      <c r="GJ58" s="9"/>
    </row>
    <row r="59" spans="1:192" s="93" customFormat="1" ht="31.5" hidden="1">
      <c r="A59" s="104">
        <f>COUNTA($D$4:D59)</f>
        <v>45</v>
      </c>
      <c r="B59" s="105" t="s">
        <v>251</v>
      </c>
      <c r="C59" s="101" t="s">
        <v>28</v>
      </c>
      <c r="D59" s="106">
        <v>9575.1800000000039</v>
      </c>
      <c r="E59" s="106">
        <f t="shared" si="8"/>
        <v>5103.5709400000014</v>
      </c>
      <c r="F59" s="106">
        <f t="shared" si="9"/>
        <v>4471.6090600000025</v>
      </c>
      <c r="G59" s="108"/>
      <c r="H59" s="98"/>
      <c r="I59" s="98"/>
      <c r="J59" s="98"/>
      <c r="K59" s="98"/>
      <c r="L59" s="98"/>
      <c r="M59" s="98"/>
      <c r="N59" s="98"/>
      <c r="O59" s="98"/>
      <c r="P59" s="98"/>
      <c r="Q59" s="98"/>
      <c r="R59" s="98"/>
      <c r="S59" s="98"/>
      <c r="T59" s="98"/>
      <c r="U59" s="98"/>
      <c r="V59" s="98"/>
      <c r="W59" s="98"/>
      <c r="X59" s="98"/>
      <c r="Y59" s="98"/>
      <c r="Z59" s="98"/>
      <c r="AA59" s="98"/>
      <c r="AB59" s="98"/>
      <c r="AC59" s="98"/>
      <c r="AD59" s="98"/>
      <c r="AE59" s="98"/>
      <c r="AF59" s="98"/>
      <c r="AG59" s="98"/>
      <c r="AH59" s="98"/>
      <c r="AI59" s="98"/>
      <c r="AJ59" s="98"/>
      <c r="AK59" s="98"/>
      <c r="AL59" s="98"/>
      <c r="AM59" s="98"/>
      <c r="AN59" s="98"/>
      <c r="AO59" s="98"/>
      <c r="AP59" s="98"/>
      <c r="AQ59" s="98"/>
      <c r="AR59" s="98"/>
      <c r="AS59" s="98"/>
      <c r="AT59" s="98"/>
      <c r="AU59" s="98"/>
      <c r="AV59" s="98"/>
      <c r="AW59" s="98"/>
      <c r="AX59" s="98"/>
      <c r="AY59" s="98"/>
      <c r="AZ59" s="98"/>
      <c r="BA59" s="98"/>
      <c r="BB59" s="98"/>
      <c r="BC59" s="98"/>
      <c r="BD59" s="98"/>
      <c r="BE59" s="98"/>
      <c r="BF59" s="98"/>
      <c r="BG59" s="98"/>
      <c r="BH59" s="98"/>
      <c r="BI59" s="98"/>
      <c r="BJ59" s="98"/>
      <c r="BK59" s="98"/>
      <c r="BL59" s="98"/>
      <c r="BM59" s="98"/>
      <c r="BN59" s="98"/>
      <c r="BO59" s="98"/>
      <c r="BP59" s="98"/>
      <c r="BQ59" s="98"/>
      <c r="BR59" s="98"/>
      <c r="BS59" s="98"/>
      <c r="BT59" s="98"/>
      <c r="BU59" s="98"/>
      <c r="BV59" s="98"/>
      <c r="BW59" s="98"/>
      <c r="BX59" s="98"/>
      <c r="BY59" s="98"/>
      <c r="BZ59" s="98"/>
      <c r="CA59" s="98"/>
      <c r="CB59" s="98"/>
      <c r="CC59" s="98"/>
      <c r="CD59" s="98"/>
      <c r="CE59" s="98"/>
      <c r="CF59" s="98"/>
      <c r="CG59" s="98"/>
      <c r="CH59" s="98"/>
      <c r="CI59" s="98"/>
      <c r="CJ59" s="98"/>
      <c r="CK59" s="98"/>
      <c r="CL59" s="98"/>
      <c r="CM59" s="98"/>
      <c r="CN59" s="98"/>
      <c r="CO59" s="98"/>
      <c r="CP59" s="98"/>
      <c r="CQ59" s="98"/>
      <c r="CR59" s="98"/>
      <c r="CS59" s="98"/>
      <c r="CT59" s="98"/>
      <c r="CU59" s="98"/>
      <c r="CV59" s="98"/>
      <c r="CW59" s="98"/>
      <c r="CX59" s="98"/>
      <c r="CY59" s="98"/>
      <c r="CZ59" s="98"/>
      <c r="DA59" s="98"/>
      <c r="DB59" s="98"/>
      <c r="DC59" s="98"/>
      <c r="DD59" s="98"/>
      <c r="DE59" s="98"/>
      <c r="DF59" s="98"/>
      <c r="DG59" s="98"/>
      <c r="DH59" s="98"/>
      <c r="DI59" s="98"/>
      <c r="DJ59" s="98"/>
      <c r="DK59" s="98"/>
      <c r="DL59" s="98"/>
      <c r="DM59" s="98"/>
      <c r="DN59" s="98"/>
      <c r="DO59" s="98"/>
      <c r="DP59" s="98"/>
      <c r="DQ59" s="98"/>
      <c r="DR59" s="98"/>
      <c r="DS59" s="98"/>
      <c r="DT59" s="98"/>
      <c r="DU59" s="98"/>
      <c r="DV59" s="98"/>
      <c r="DW59" s="98"/>
      <c r="DX59" s="98"/>
      <c r="DY59" s="98"/>
      <c r="DZ59" s="98"/>
      <c r="EA59" s="98"/>
      <c r="EB59" s="98"/>
      <c r="EC59" s="98"/>
      <c r="ED59" s="98"/>
      <c r="EE59" s="98"/>
      <c r="EF59" s="98"/>
      <c r="EG59" s="98"/>
      <c r="EH59" s="98"/>
      <c r="EI59" s="98"/>
      <c r="EJ59" s="98"/>
      <c r="EK59" s="98"/>
      <c r="EL59" s="98"/>
      <c r="EM59" s="98"/>
      <c r="EN59" s="98"/>
      <c r="EO59" s="98"/>
      <c r="EP59" s="98"/>
      <c r="EQ59" s="98"/>
      <c r="ER59" s="98"/>
      <c r="ES59" s="98"/>
      <c r="ET59" s="98"/>
      <c r="EU59" s="98"/>
      <c r="EV59" s="98"/>
      <c r="EW59" s="98"/>
      <c r="EX59" s="98"/>
      <c r="EY59" s="98"/>
      <c r="EZ59" s="98"/>
      <c r="FA59" s="98"/>
      <c r="FB59" s="98"/>
      <c r="FC59" s="98"/>
      <c r="FD59" s="98"/>
      <c r="FE59" s="98"/>
      <c r="FF59" s="98"/>
      <c r="FG59" s="98"/>
      <c r="FH59" s="98"/>
      <c r="FI59" s="98"/>
      <c r="FJ59" s="98"/>
      <c r="FK59" s="98"/>
      <c r="FL59" s="98"/>
      <c r="FM59" s="98"/>
      <c r="FN59" s="98"/>
      <c r="FO59" s="98"/>
      <c r="FP59" s="9"/>
      <c r="FQ59" s="9"/>
      <c r="FR59" s="9"/>
      <c r="FS59" s="9"/>
      <c r="FT59" s="9"/>
      <c r="FU59" s="9"/>
      <c r="FV59" s="9"/>
      <c r="FW59" s="9"/>
      <c r="FX59" s="9"/>
      <c r="FY59" s="9"/>
      <c r="FZ59" s="9"/>
      <c r="GA59" s="9"/>
      <c r="GB59" s="9"/>
      <c r="GC59" s="9"/>
      <c r="GD59" s="9"/>
      <c r="GE59" s="9"/>
      <c r="GF59" s="9"/>
      <c r="GG59" s="9"/>
      <c r="GH59" s="9"/>
      <c r="GI59" s="9"/>
      <c r="GJ59" s="9"/>
    </row>
    <row r="60" spans="1:192" s="93" customFormat="1" ht="47.25" hidden="1">
      <c r="A60" s="104">
        <f>COUNTA($D$4:D60)</f>
        <v>46</v>
      </c>
      <c r="B60" s="105" t="s">
        <v>252</v>
      </c>
      <c r="C60" s="101" t="s">
        <v>12</v>
      </c>
      <c r="D60" s="106">
        <v>1020.1600000000001</v>
      </c>
      <c r="E60" s="106">
        <f t="shared" si="8"/>
        <v>543.74527999999998</v>
      </c>
      <c r="F60" s="106">
        <f t="shared" si="9"/>
        <v>476.41472000000005</v>
      </c>
      <c r="G60" s="108"/>
      <c r="H60" s="98"/>
      <c r="I60" s="98"/>
      <c r="J60" s="98"/>
      <c r="K60" s="98"/>
      <c r="L60" s="98"/>
      <c r="M60" s="98"/>
      <c r="N60" s="98"/>
      <c r="O60" s="98"/>
      <c r="P60" s="98"/>
      <c r="Q60" s="98"/>
      <c r="R60" s="98"/>
      <c r="S60" s="98"/>
      <c r="T60" s="98"/>
      <c r="U60" s="98"/>
      <c r="V60" s="98"/>
      <c r="W60" s="98"/>
      <c r="X60" s="98"/>
      <c r="Y60" s="98"/>
      <c r="Z60" s="98"/>
      <c r="AA60" s="98"/>
      <c r="AB60" s="98"/>
      <c r="AC60" s="98"/>
      <c r="AD60" s="98"/>
      <c r="AE60" s="98"/>
      <c r="AF60" s="98"/>
      <c r="AG60" s="98"/>
      <c r="AH60" s="98"/>
      <c r="AI60" s="98"/>
      <c r="AJ60" s="98"/>
      <c r="AK60" s="98"/>
      <c r="AL60" s="98"/>
      <c r="AM60" s="98"/>
      <c r="AN60" s="98"/>
      <c r="AO60" s="98"/>
      <c r="AP60" s="98"/>
      <c r="AQ60" s="98"/>
      <c r="AR60" s="98"/>
      <c r="AS60" s="98"/>
      <c r="AT60" s="98"/>
      <c r="AU60" s="98"/>
      <c r="AV60" s="98"/>
      <c r="AW60" s="98"/>
      <c r="AX60" s="98"/>
      <c r="AY60" s="98"/>
      <c r="AZ60" s="98"/>
      <c r="BA60" s="98"/>
      <c r="BB60" s="98"/>
      <c r="BC60" s="98"/>
      <c r="BD60" s="98"/>
      <c r="BE60" s="98"/>
      <c r="BF60" s="98"/>
      <c r="BG60" s="98"/>
      <c r="BH60" s="98"/>
      <c r="BI60" s="98"/>
      <c r="BJ60" s="98"/>
      <c r="BK60" s="98"/>
      <c r="BL60" s="98"/>
      <c r="BM60" s="98"/>
      <c r="BN60" s="98"/>
      <c r="BO60" s="98"/>
      <c r="BP60" s="98"/>
      <c r="BQ60" s="98"/>
      <c r="BR60" s="98"/>
      <c r="BS60" s="98"/>
      <c r="BT60" s="98"/>
      <c r="BU60" s="98"/>
      <c r="BV60" s="98"/>
      <c r="BW60" s="98"/>
      <c r="BX60" s="98"/>
      <c r="BY60" s="98"/>
      <c r="BZ60" s="98"/>
      <c r="CA60" s="98"/>
      <c r="CB60" s="98"/>
      <c r="CC60" s="98"/>
      <c r="CD60" s="98"/>
      <c r="CE60" s="98"/>
      <c r="CF60" s="98"/>
      <c r="CG60" s="98"/>
      <c r="CH60" s="98"/>
      <c r="CI60" s="98"/>
      <c r="CJ60" s="98"/>
      <c r="CK60" s="98"/>
      <c r="CL60" s="98"/>
      <c r="CM60" s="98"/>
      <c r="CN60" s="98"/>
      <c r="CO60" s="98"/>
      <c r="CP60" s="98"/>
      <c r="CQ60" s="98"/>
      <c r="CR60" s="98"/>
      <c r="CS60" s="98"/>
      <c r="CT60" s="98"/>
      <c r="CU60" s="98"/>
      <c r="CV60" s="98"/>
      <c r="CW60" s="98"/>
      <c r="CX60" s="98"/>
      <c r="CY60" s="98"/>
      <c r="CZ60" s="98"/>
      <c r="DA60" s="98"/>
      <c r="DB60" s="98"/>
      <c r="DC60" s="98"/>
      <c r="DD60" s="98"/>
      <c r="DE60" s="98"/>
      <c r="DF60" s="98"/>
      <c r="DG60" s="98"/>
      <c r="DH60" s="98"/>
      <c r="DI60" s="98"/>
      <c r="DJ60" s="98"/>
      <c r="DK60" s="98"/>
      <c r="DL60" s="98"/>
      <c r="DM60" s="98"/>
      <c r="DN60" s="98"/>
      <c r="DO60" s="98"/>
      <c r="DP60" s="98"/>
      <c r="DQ60" s="98"/>
      <c r="DR60" s="98"/>
      <c r="DS60" s="98"/>
      <c r="DT60" s="98"/>
      <c r="DU60" s="98"/>
      <c r="DV60" s="98"/>
      <c r="DW60" s="98"/>
      <c r="DX60" s="98"/>
      <c r="DY60" s="98"/>
      <c r="DZ60" s="98"/>
      <c r="EA60" s="98"/>
      <c r="EB60" s="98"/>
      <c r="EC60" s="98"/>
      <c r="ED60" s="98"/>
      <c r="EE60" s="98"/>
      <c r="EF60" s="98"/>
      <c r="EG60" s="98"/>
      <c r="EH60" s="98"/>
      <c r="EI60" s="98"/>
      <c r="EJ60" s="98"/>
      <c r="EK60" s="98"/>
      <c r="EL60" s="98"/>
      <c r="EM60" s="98"/>
      <c r="EN60" s="98"/>
      <c r="EO60" s="98"/>
      <c r="EP60" s="98"/>
      <c r="EQ60" s="98"/>
      <c r="ER60" s="98"/>
      <c r="ES60" s="98"/>
      <c r="ET60" s="98"/>
      <c r="EU60" s="98"/>
      <c r="EV60" s="98"/>
      <c r="EW60" s="98"/>
      <c r="EX60" s="98"/>
      <c r="EY60" s="98"/>
      <c r="EZ60" s="98"/>
      <c r="FA60" s="98"/>
      <c r="FB60" s="98"/>
      <c r="FC60" s="98"/>
      <c r="FD60" s="98"/>
      <c r="FE60" s="98"/>
      <c r="FF60" s="98"/>
      <c r="FG60" s="98"/>
      <c r="FH60" s="98"/>
      <c r="FI60" s="98"/>
      <c r="FJ60" s="98"/>
      <c r="FK60" s="98"/>
      <c r="FL60" s="98"/>
      <c r="FM60" s="98"/>
      <c r="FN60" s="98"/>
      <c r="FO60" s="98"/>
      <c r="FP60" s="9"/>
      <c r="FQ60" s="9"/>
      <c r="FR60" s="9"/>
      <c r="FS60" s="9"/>
      <c r="FT60" s="9"/>
      <c r="FU60" s="9"/>
      <c r="FV60" s="9"/>
      <c r="FW60" s="9"/>
      <c r="FX60" s="9"/>
      <c r="FY60" s="9"/>
      <c r="FZ60" s="9"/>
      <c r="GA60" s="9"/>
      <c r="GB60" s="9"/>
      <c r="GC60" s="9"/>
      <c r="GD60" s="9"/>
      <c r="GE60" s="9"/>
      <c r="GF60" s="9"/>
      <c r="GG60" s="9"/>
      <c r="GH60" s="9"/>
      <c r="GI60" s="9"/>
      <c r="GJ60" s="9"/>
    </row>
    <row r="61" spans="1:192" s="93" customFormat="1" ht="47.25" hidden="1">
      <c r="A61" s="104">
        <f>COUNTA($D$4:D61)</f>
        <v>47</v>
      </c>
      <c r="B61" s="105" t="s">
        <v>253</v>
      </c>
      <c r="C61" s="101" t="s">
        <v>12</v>
      </c>
      <c r="D61" s="106">
        <v>2830.2660000000001</v>
      </c>
      <c r="E61" s="106">
        <f t="shared" si="8"/>
        <v>1508.5317779999998</v>
      </c>
      <c r="F61" s="106">
        <f t="shared" si="9"/>
        <v>1321.734222</v>
      </c>
      <c r="G61" s="108"/>
      <c r="H61" s="98"/>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c r="BB61" s="98"/>
      <c r="BC61" s="98"/>
      <c r="BD61" s="98"/>
      <c r="BE61" s="98"/>
      <c r="BF61" s="98"/>
      <c r="BG61" s="98"/>
      <c r="BH61" s="98"/>
      <c r="BI61" s="98"/>
      <c r="BJ61" s="98"/>
      <c r="BK61" s="98"/>
      <c r="BL61" s="98"/>
      <c r="BM61" s="98"/>
      <c r="BN61" s="98"/>
      <c r="BO61" s="98"/>
      <c r="BP61" s="98"/>
      <c r="BQ61" s="98"/>
      <c r="BR61" s="98"/>
      <c r="BS61" s="98"/>
      <c r="BT61" s="98"/>
      <c r="BU61" s="98"/>
      <c r="BV61" s="98"/>
      <c r="BW61" s="98"/>
      <c r="BX61" s="98"/>
      <c r="BY61" s="98"/>
      <c r="BZ61" s="98"/>
      <c r="CA61" s="98"/>
      <c r="CB61" s="98"/>
      <c r="CC61" s="98"/>
      <c r="CD61" s="98"/>
      <c r="CE61" s="98"/>
      <c r="CF61" s="98"/>
      <c r="CG61" s="98"/>
      <c r="CH61" s="98"/>
      <c r="CI61" s="98"/>
      <c r="CJ61" s="98"/>
      <c r="CK61" s="98"/>
      <c r="CL61" s="98"/>
      <c r="CM61" s="98"/>
      <c r="CN61" s="98"/>
      <c r="CO61" s="98"/>
      <c r="CP61" s="98"/>
      <c r="CQ61" s="98"/>
      <c r="CR61" s="98"/>
      <c r="CS61" s="98"/>
      <c r="CT61" s="98"/>
      <c r="CU61" s="98"/>
      <c r="CV61" s="98"/>
      <c r="CW61" s="98"/>
      <c r="CX61" s="98"/>
      <c r="CY61" s="98"/>
      <c r="CZ61" s="98"/>
      <c r="DA61" s="98"/>
      <c r="DB61" s="98"/>
      <c r="DC61" s="98"/>
      <c r="DD61" s="98"/>
      <c r="DE61" s="98"/>
      <c r="DF61" s="98"/>
      <c r="DG61" s="98"/>
      <c r="DH61" s="98"/>
      <c r="DI61" s="98"/>
      <c r="DJ61" s="98"/>
      <c r="DK61" s="98"/>
      <c r="DL61" s="98"/>
      <c r="DM61" s="98"/>
      <c r="DN61" s="98"/>
      <c r="DO61" s="98"/>
      <c r="DP61" s="98"/>
      <c r="DQ61" s="98"/>
      <c r="DR61" s="98"/>
      <c r="DS61" s="98"/>
      <c r="DT61" s="98"/>
      <c r="DU61" s="98"/>
      <c r="DV61" s="98"/>
      <c r="DW61" s="98"/>
      <c r="DX61" s="98"/>
      <c r="DY61" s="98"/>
      <c r="DZ61" s="98"/>
      <c r="EA61" s="98"/>
      <c r="EB61" s="98"/>
      <c r="EC61" s="98"/>
      <c r="ED61" s="98"/>
      <c r="EE61" s="98"/>
      <c r="EF61" s="98"/>
      <c r="EG61" s="98"/>
      <c r="EH61" s="98"/>
      <c r="EI61" s="98"/>
      <c r="EJ61" s="98"/>
      <c r="EK61" s="98"/>
      <c r="EL61" s="98"/>
      <c r="EM61" s="98"/>
      <c r="EN61" s="98"/>
      <c r="EO61" s="98"/>
      <c r="EP61" s="98"/>
      <c r="EQ61" s="98"/>
      <c r="ER61" s="98"/>
      <c r="ES61" s="98"/>
      <c r="ET61" s="98"/>
      <c r="EU61" s="98"/>
      <c r="EV61" s="98"/>
      <c r="EW61" s="98"/>
      <c r="EX61" s="98"/>
      <c r="EY61" s="98"/>
      <c r="EZ61" s="98"/>
      <c r="FA61" s="98"/>
      <c r="FB61" s="98"/>
      <c r="FC61" s="98"/>
      <c r="FD61" s="98"/>
      <c r="FE61" s="98"/>
      <c r="FF61" s="98"/>
      <c r="FG61" s="98"/>
      <c r="FH61" s="98"/>
      <c r="FI61" s="98"/>
      <c r="FJ61" s="98"/>
      <c r="FK61" s="98"/>
      <c r="FL61" s="98"/>
      <c r="FM61" s="98"/>
      <c r="FN61" s="98"/>
      <c r="FO61" s="98"/>
      <c r="FP61" s="9"/>
      <c r="FQ61" s="9"/>
      <c r="FR61" s="9"/>
      <c r="FS61" s="9"/>
      <c r="FT61" s="9"/>
      <c r="FU61" s="9"/>
      <c r="FV61" s="9"/>
      <c r="FW61" s="9"/>
      <c r="FX61" s="9"/>
      <c r="FY61" s="9"/>
      <c r="FZ61" s="9"/>
      <c r="GA61" s="9"/>
      <c r="GB61" s="9"/>
      <c r="GC61" s="9"/>
      <c r="GD61" s="9"/>
      <c r="GE61" s="9"/>
      <c r="GF61" s="9"/>
      <c r="GG61" s="9"/>
      <c r="GH61" s="9"/>
      <c r="GI61" s="9"/>
      <c r="GJ61" s="9"/>
    </row>
    <row r="62" spans="1:192" s="93" customFormat="1" ht="31.5" hidden="1">
      <c r="A62" s="104">
        <f>COUNTA($D$4:D62)</f>
        <v>48</v>
      </c>
      <c r="B62" s="105" t="s">
        <v>254</v>
      </c>
      <c r="C62" s="101" t="s">
        <v>12</v>
      </c>
      <c r="D62" s="106">
        <v>277.46000000000004</v>
      </c>
      <c r="E62" s="106">
        <f t="shared" si="8"/>
        <v>147.88618</v>
      </c>
      <c r="F62" s="106">
        <f t="shared" si="9"/>
        <v>129.57382000000001</v>
      </c>
      <c r="G62" s="108"/>
      <c r="H62" s="98"/>
      <c r="I62" s="98"/>
      <c r="J62" s="98"/>
      <c r="K62" s="98"/>
      <c r="L62" s="98"/>
      <c r="M62" s="98"/>
      <c r="N62" s="98"/>
      <c r="O62" s="98"/>
      <c r="P62" s="98"/>
      <c r="Q62" s="98"/>
      <c r="R62" s="98"/>
      <c r="S62" s="98"/>
      <c r="T62" s="98"/>
      <c r="U62" s="98"/>
      <c r="V62" s="98"/>
      <c r="W62" s="98"/>
      <c r="X62" s="98"/>
      <c r="Y62" s="98"/>
      <c r="Z62" s="98"/>
      <c r="AA62" s="98"/>
      <c r="AB62" s="98"/>
      <c r="AC62" s="98"/>
      <c r="AD62" s="98"/>
      <c r="AE62" s="98"/>
      <c r="AF62" s="98"/>
      <c r="AG62" s="98"/>
      <c r="AH62" s="98"/>
      <c r="AI62" s="98"/>
      <c r="AJ62" s="98"/>
      <c r="AK62" s="98"/>
      <c r="AL62" s="98"/>
      <c r="AM62" s="98"/>
      <c r="AN62" s="98"/>
      <c r="AO62" s="98"/>
      <c r="AP62" s="98"/>
      <c r="AQ62" s="98"/>
      <c r="AR62" s="98"/>
      <c r="AS62" s="98"/>
      <c r="AT62" s="98"/>
      <c r="AU62" s="98"/>
      <c r="AV62" s="98"/>
      <c r="AW62" s="98"/>
      <c r="AX62" s="98"/>
      <c r="AY62" s="98"/>
      <c r="AZ62" s="98"/>
      <c r="BA62" s="98"/>
      <c r="BB62" s="98"/>
      <c r="BC62" s="98"/>
      <c r="BD62" s="98"/>
      <c r="BE62" s="98"/>
      <c r="BF62" s="98"/>
      <c r="BG62" s="98"/>
      <c r="BH62" s="98"/>
      <c r="BI62" s="98"/>
      <c r="BJ62" s="98"/>
      <c r="BK62" s="98"/>
      <c r="BL62" s="98"/>
      <c r="BM62" s="98"/>
      <c r="BN62" s="98"/>
      <c r="BO62" s="98"/>
      <c r="BP62" s="98"/>
      <c r="BQ62" s="98"/>
      <c r="BR62" s="98"/>
      <c r="BS62" s="98"/>
      <c r="BT62" s="98"/>
      <c r="BU62" s="98"/>
      <c r="BV62" s="98"/>
      <c r="BW62" s="98"/>
      <c r="BX62" s="98"/>
      <c r="BY62" s="98"/>
      <c r="BZ62" s="98"/>
      <c r="CA62" s="98"/>
      <c r="CB62" s="98"/>
      <c r="CC62" s="98"/>
      <c r="CD62" s="98"/>
      <c r="CE62" s="98"/>
      <c r="CF62" s="98"/>
      <c r="CG62" s="98"/>
      <c r="CH62" s="98"/>
      <c r="CI62" s="98"/>
      <c r="CJ62" s="98"/>
      <c r="CK62" s="98"/>
      <c r="CL62" s="98"/>
      <c r="CM62" s="98"/>
      <c r="CN62" s="98"/>
      <c r="CO62" s="98"/>
      <c r="CP62" s="98"/>
      <c r="CQ62" s="98"/>
      <c r="CR62" s="98"/>
      <c r="CS62" s="98"/>
      <c r="CT62" s="98"/>
      <c r="CU62" s="98"/>
      <c r="CV62" s="98"/>
      <c r="CW62" s="98"/>
      <c r="CX62" s="98"/>
      <c r="CY62" s="98"/>
      <c r="CZ62" s="98"/>
      <c r="DA62" s="98"/>
      <c r="DB62" s="98"/>
      <c r="DC62" s="98"/>
      <c r="DD62" s="98"/>
      <c r="DE62" s="98"/>
      <c r="DF62" s="98"/>
      <c r="DG62" s="98"/>
      <c r="DH62" s="98"/>
      <c r="DI62" s="98"/>
      <c r="DJ62" s="98"/>
      <c r="DK62" s="98"/>
      <c r="DL62" s="98"/>
      <c r="DM62" s="98"/>
      <c r="DN62" s="98"/>
      <c r="DO62" s="98"/>
      <c r="DP62" s="98"/>
      <c r="DQ62" s="98"/>
      <c r="DR62" s="98"/>
      <c r="DS62" s="98"/>
      <c r="DT62" s="98"/>
      <c r="DU62" s="98"/>
      <c r="DV62" s="98"/>
      <c r="DW62" s="98"/>
      <c r="DX62" s="98"/>
      <c r="DY62" s="98"/>
      <c r="DZ62" s="98"/>
      <c r="EA62" s="98"/>
      <c r="EB62" s="98"/>
      <c r="EC62" s="98"/>
      <c r="ED62" s="98"/>
      <c r="EE62" s="98"/>
      <c r="EF62" s="98"/>
      <c r="EG62" s="98"/>
      <c r="EH62" s="98"/>
      <c r="EI62" s="98"/>
      <c r="EJ62" s="98"/>
      <c r="EK62" s="98"/>
      <c r="EL62" s="98"/>
      <c r="EM62" s="98"/>
      <c r="EN62" s="98"/>
      <c r="EO62" s="98"/>
      <c r="EP62" s="98"/>
      <c r="EQ62" s="98"/>
      <c r="ER62" s="98"/>
      <c r="ES62" s="98"/>
      <c r="ET62" s="98"/>
      <c r="EU62" s="98"/>
      <c r="EV62" s="98"/>
      <c r="EW62" s="98"/>
      <c r="EX62" s="98"/>
      <c r="EY62" s="98"/>
      <c r="EZ62" s="98"/>
      <c r="FA62" s="98"/>
      <c r="FB62" s="98"/>
      <c r="FC62" s="98"/>
      <c r="FD62" s="98"/>
      <c r="FE62" s="98"/>
      <c r="FF62" s="98"/>
      <c r="FG62" s="98"/>
      <c r="FH62" s="98"/>
      <c r="FI62" s="98"/>
      <c r="FJ62" s="98"/>
      <c r="FK62" s="98"/>
      <c r="FL62" s="98"/>
      <c r="FM62" s="98"/>
      <c r="FN62" s="98"/>
      <c r="FO62" s="98"/>
      <c r="FP62" s="9"/>
      <c r="FQ62" s="9"/>
      <c r="FR62" s="9"/>
      <c r="FS62" s="9"/>
      <c r="FT62" s="9"/>
      <c r="FU62" s="9"/>
      <c r="FV62" s="9"/>
      <c r="FW62" s="9"/>
      <c r="FX62" s="9"/>
      <c r="FY62" s="9"/>
      <c r="FZ62" s="9"/>
      <c r="GA62" s="9"/>
      <c r="GB62" s="9"/>
      <c r="GC62" s="9"/>
      <c r="GD62" s="9"/>
      <c r="GE62" s="9"/>
      <c r="GF62" s="9"/>
      <c r="GG62" s="9"/>
      <c r="GH62" s="9"/>
      <c r="GI62" s="9"/>
      <c r="GJ62" s="9"/>
    </row>
    <row r="63" spans="1:192" s="93" customFormat="1" ht="16.5" hidden="1">
      <c r="A63" s="94"/>
      <c r="B63" s="95" t="s">
        <v>52</v>
      </c>
      <c r="C63" s="94"/>
      <c r="D63" s="96"/>
      <c r="E63" s="96"/>
      <c r="F63" s="96"/>
      <c r="G63" s="97"/>
      <c r="H63" s="98"/>
      <c r="I63" s="98"/>
      <c r="J63" s="98"/>
      <c r="K63" s="98"/>
      <c r="L63" s="98"/>
      <c r="M63" s="98"/>
      <c r="N63" s="98"/>
      <c r="O63" s="98"/>
      <c r="P63" s="98"/>
      <c r="Q63" s="98"/>
      <c r="R63" s="98"/>
      <c r="S63" s="98"/>
      <c r="T63" s="98"/>
      <c r="U63" s="98"/>
      <c r="V63" s="98"/>
      <c r="W63" s="98"/>
      <c r="X63" s="98"/>
      <c r="Y63" s="98"/>
      <c r="Z63" s="98"/>
      <c r="AA63" s="98"/>
      <c r="AB63" s="98"/>
      <c r="AC63" s="98"/>
      <c r="AD63" s="98"/>
      <c r="AE63" s="98"/>
      <c r="AF63" s="98"/>
      <c r="AG63" s="98"/>
      <c r="AH63" s="98"/>
      <c r="AI63" s="98"/>
      <c r="AJ63" s="98"/>
      <c r="AK63" s="98"/>
      <c r="AL63" s="98"/>
      <c r="AM63" s="98"/>
      <c r="AN63" s="98"/>
      <c r="AO63" s="98"/>
      <c r="AP63" s="98"/>
      <c r="AQ63" s="98"/>
      <c r="AR63" s="98"/>
      <c r="AS63" s="98"/>
      <c r="AT63" s="98"/>
      <c r="AU63" s="98"/>
      <c r="AV63" s="98"/>
      <c r="AW63" s="98"/>
      <c r="AX63" s="98"/>
      <c r="AY63" s="98"/>
      <c r="AZ63" s="98"/>
      <c r="BA63" s="98"/>
      <c r="BB63" s="98"/>
      <c r="BC63" s="98"/>
      <c r="BD63" s="98"/>
      <c r="BE63" s="98"/>
      <c r="BF63" s="98"/>
      <c r="BG63" s="98"/>
      <c r="BH63" s="98"/>
      <c r="BI63" s="98"/>
      <c r="BJ63" s="98"/>
      <c r="BK63" s="98"/>
      <c r="BL63" s="98"/>
      <c r="BM63" s="98"/>
      <c r="BN63" s="98"/>
      <c r="BO63" s="98"/>
      <c r="BP63" s="98"/>
      <c r="BQ63" s="98"/>
      <c r="BR63" s="98"/>
      <c r="BS63" s="98"/>
      <c r="BT63" s="98"/>
      <c r="BU63" s="98"/>
      <c r="BV63" s="98"/>
      <c r="BW63" s="98"/>
      <c r="BX63" s="98"/>
      <c r="BY63" s="98"/>
      <c r="BZ63" s="98"/>
      <c r="CA63" s="98"/>
      <c r="CB63" s="98"/>
      <c r="CC63" s="98"/>
      <c r="CD63" s="98"/>
      <c r="CE63" s="98"/>
      <c r="CF63" s="98"/>
      <c r="CG63" s="98"/>
      <c r="CH63" s="98"/>
      <c r="CI63" s="98"/>
      <c r="CJ63" s="98"/>
      <c r="CK63" s="98"/>
      <c r="CL63" s="98"/>
      <c r="CM63" s="98"/>
      <c r="CN63" s="98"/>
      <c r="CO63" s="98"/>
      <c r="CP63" s="98"/>
      <c r="CQ63" s="98"/>
      <c r="CR63" s="98"/>
      <c r="CS63" s="98"/>
      <c r="CT63" s="98"/>
      <c r="CU63" s="98"/>
      <c r="CV63" s="98"/>
      <c r="CW63" s="98"/>
      <c r="CX63" s="98"/>
      <c r="CY63" s="98"/>
      <c r="CZ63" s="98"/>
      <c r="DA63" s="98"/>
      <c r="DB63" s="98"/>
      <c r="DC63" s="98"/>
      <c r="DD63" s="98"/>
      <c r="DE63" s="98"/>
      <c r="DF63" s="98"/>
      <c r="DG63" s="98"/>
      <c r="DH63" s="98"/>
      <c r="DI63" s="98"/>
      <c r="DJ63" s="98"/>
      <c r="DK63" s="98"/>
      <c r="DL63" s="98"/>
      <c r="DM63" s="98"/>
      <c r="DN63" s="98"/>
      <c r="DO63" s="98"/>
      <c r="DP63" s="98"/>
      <c r="DQ63" s="98"/>
      <c r="DR63" s="98"/>
      <c r="DS63" s="98"/>
      <c r="DT63" s="98"/>
      <c r="DU63" s="98"/>
      <c r="DV63" s="98"/>
      <c r="DW63" s="98"/>
      <c r="DX63" s="98"/>
      <c r="DY63" s="98"/>
      <c r="DZ63" s="98"/>
      <c r="EA63" s="98"/>
      <c r="EB63" s="98"/>
      <c r="EC63" s="98"/>
      <c r="ED63" s="98"/>
      <c r="EE63" s="98"/>
      <c r="EF63" s="98"/>
      <c r="EG63" s="98"/>
      <c r="EH63" s="98"/>
      <c r="EI63" s="98"/>
      <c r="EJ63" s="98"/>
      <c r="EK63" s="98"/>
      <c r="EL63" s="98"/>
      <c r="EM63" s="98"/>
      <c r="EN63" s="98"/>
      <c r="EO63" s="98"/>
      <c r="EP63" s="98"/>
      <c r="EQ63" s="98"/>
      <c r="ER63" s="98"/>
      <c r="ES63" s="98"/>
      <c r="ET63" s="98"/>
      <c r="EU63" s="98"/>
      <c r="EV63" s="98"/>
      <c r="EW63" s="98"/>
      <c r="EX63" s="98"/>
      <c r="EY63" s="98"/>
      <c r="EZ63" s="98"/>
      <c r="FA63" s="98"/>
      <c r="FB63" s="98"/>
      <c r="FC63" s="98"/>
      <c r="FD63" s="98"/>
      <c r="FE63" s="98"/>
      <c r="FF63" s="98"/>
      <c r="FG63" s="98"/>
      <c r="FH63" s="98"/>
      <c r="FI63" s="98"/>
      <c r="FJ63" s="98"/>
      <c r="FK63" s="98"/>
      <c r="FL63" s="98"/>
      <c r="FM63" s="98"/>
      <c r="FN63" s="98"/>
      <c r="FO63" s="98"/>
      <c r="FP63" s="9"/>
      <c r="FQ63" s="9"/>
      <c r="FR63" s="9"/>
      <c r="FS63" s="9"/>
      <c r="FT63" s="9"/>
      <c r="FU63" s="9"/>
      <c r="FV63" s="9"/>
      <c r="FW63" s="9"/>
      <c r="FX63" s="9"/>
      <c r="FY63" s="9"/>
      <c r="FZ63" s="9"/>
      <c r="GA63" s="9"/>
      <c r="GB63" s="9"/>
      <c r="GC63" s="9"/>
      <c r="GD63" s="9"/>
      <c r="GE63" s="9"/>
      <c r="GF63" s="9"/>
      <c r="GG63" s="9"/>
      <c r="GH63" s="9"/>
      <c r="GI63" s="9"/>
      <c r="GJ63" s="9"/>
    </row>
    <row r="64" spans="1:192" ht="31.5" hidden="1">
      <c r="A64" s="104">
        <f>COUNTA($D$4:D64)</f>
        <v>49</v>
      </c>
      <c r="B64" s="105" t="s">
        <v>53</v>
      </c>
      <c r="C64" s="101" t="s">
        <v>12</v>
      </c>
      <c r="D64" s="106">
        <v>3174.18</v>
      </c>
      <c r="E64" s="106">
        <f t="shared" ref="E64:E68" si="10">+D64*53.3%</f>
        <v>1691.8379399999997</v>
      </c>
      <c r="F64" s="106">
        <f t="shared" ref="F64:F68" si="11">+D64*46.7%</f>
        <v>1482.3420599999999</v>
      </c>
      <c r="G64" s="108"/>
    </row>
    <row r="65" spans="1:192" hidden="1">
      <c r="A65" s="104">
        <f>COUNTA($D$4:D65)</f>
        <v>50</v>
      </c>
      <c r="B65" s="105" t="s">
        <v>54</v>
      </c>
      <c r="C65" s="101" t="s">
        <v>12</v>
      </c>
      <c r="D65" s="106">
        <f>+D64</f>
        <v>3174.18</v>
      </c>
      <c r="E65" s="106">
        <f t="shared" si="10"/>
        <v>1691.8379399999997</v>
      </c>
      <c r="F65" s="106">
        <f t="shared" si="11"/>
        <v>1482.3420599999999</v>
      </c>
      <c r="G65" s="108"/>
    </row>
    <row r="66" spans="1:192" hidden="1">
      <c r="A66" s="104">
        <f>COUNTA($D$4:D66)</f>
        <v>51</v>
      </c>
      <c r="B66" s="105" t="s">
        <v>55</v>
      </c>
      <c r="C66" s="101" t="s">
        <v>12</v>
      </c>
      <c r="D66" s="106">
        <f>+D65</f>
        <v>3174.18</v>
      </c>
      <c r="E66" s="106">
        <f t="shared" si="10"/>
        <v>1691.8379399999997</v>
      </c>
      <c r="F66" s="106">
        <f t="shared" si="11"/>
        <v>1482.3420599999999</v>
      </c>
      <c r="G66" s="108"/>
    </row>
    <row r="67" spans="1:192" hidden="1">
      <c r="A67" s="104">
        <f>COUNTA($D$4:D67)</f>
        <v>52</v>
      </c>
      <c r="B67" s="105" t="s">
        <v>255</v>
      </c>
      <c r="C67" s="101" t="s">
        <v>33</v>
      </c>
      <c r="D67" s="106">
        <f>+D66*1.55*1.15</f>
        <v>5657.9758499999998</v>
      </c>
      <c r="E67" s="106">
        <f t="shared" si="10"/>
        <v>3015.7011280499996</v>
      </c>
      <c r="F67" s="106">
        <f t="shared" si="11"/>
        <v>2642.2747219500002</v>
      </c>
      <c r="G67" s="108"/>
    </row>
    <row r="68" spans="1:192" hidden="1">
      <c r="A68" s="143">
        <f>COUNTA($D$4:D68)</f>
        <v>53</v>
      </c>
      <c r="B68" s="144" t="s">
        <v>256</v>
      </c>
      <c r="C68" s="145" t="s">
        <v>14</v>
      </c>
      <c r="D68" s="146">
        <f>+D66*0.8</f>
        <v>2539.3440000000001</v>
      </c>
      <c r="E68" s="146">
        <f t="shared" si="10"/>
        <v>1353.4703519999998</v>
      </c>
      <c r="F68" s="146">
        <f t="shared" si="11"/>
        <v>1185.873648</v>
      </c>
      <c r="G68" s="147"/>
    </row>
    <row r="69" spans="1:192" s="93" customFormat="1" ht="16.5">
      <c r="A69" s="154"/>
      <c r="B69" s="155" t="s">
        <v>56</v>
      </c>
      <c r="C69" s="154"/>
      <c r="D69" s="156"/>
      <c r="E69" s="156"/>
      <c r="F69" s="156"/>
      <c r="G69" s="157"/>
      <c r="H69" s="98"/>
      <c r="I69" s="98"/>
      <c r="J69" s="98"/>
      <c r="K69" s="98"/>
      <c r="L69" s="98"/>
      <c r="M69" s="98"/>
      <c r="N69" s="98"/>
      <c r="O69" s="98"/>
      <c r="P69" s="98"/>
      <c r="Q69" s="98"/>
      <c r="R69" s="98"/>
      <c r="S69" s="98"/>
      <c r="T69" s="98"/>
      <c r="U69" s="98"/>
      <c r="V69" s="98"/>
      <c r="W69" s="98"/>
      <c r="X69" s="98"/>
      <c r="Y69" s="98"/>
      <c r="Z69" s="98"/>
      <c r="AA69" s="98"/>
      <c r="AB69" s="98"/>
      <c r="AC69" s="98"/>
      <c r="AD69" s="98"/>
      <c r="AE69" s="98"/>
      <c r="AF69" s="98"/>
      <c r="AG69" s="98"/>
      <c r="AH69" s="98"/>
      <c r="AI69" s="98"/>
      <c r="AJ69" s="98"/>
      <c r="AK69" s="98"/>
      <c r="AL69" s="98"/>
      <c r="AM69" s="98"/>
      <c r="AN69" s="98"/>
      <c r="AO69" s="98"/>
      <c r="AP69" s="98"/>
      <c r="AQ69" s="98"/>
      <c r="AR69" s="98"/>
      <c r="AS69" s="98"/>
      <c r="AT69" s="98"/>
      <c r="AU69" s="98"/>
      <c r="AV69" s="98"/>
      <c r="AW69" s="98"/>
      <c r="AX69" s="98"/>
      <c r="AY69" s="98"/>
      <c r="AZ69" s="98"/>
      <c r="BA69" s="98"/>
      <c r="BB69" s="98"/>
      <c r="BC69" s="98"/>
      <c r="BD69" s="98"/>
      <c r="BE69" s="98"/>
      <c r="BF69" s="98"/>
      <c r="BG69" s="98"/>
      <c r="BH69" s="98"/>
      <c r="BI69" s="98"/>
      <c r="BJ69" s="98"/>
      <c r="BK69" s="98"/>
      <c r="BL69" s="98"/>
      <c r="BM69" s="98"/>
      <c r="BN69" s="98"/>
      <c r="BO69" s="98"/>
      <c r="BP69" s="98"/>
      <c r="BQ69" s="98"/>
      <c r="BR69" s="98"/>
      <c r="BS69" s="98"/>
      <c r="BT69" s="98"/>
      <c r="BU69" s="98"/>
      <c r="BV69" s="98"/>
      <c r="BW69" s="98"/>
      <c r="BX69" s="98"/>
      <c r="BY69" s="98"/>
      <c r="BZ69" s="98"/>
      <c r="CA69" s="98"/>
      <c r="CB69" s="98"/>
      <c r="CC69" s="98"/>
      <c r="CD69" s="98"/>
      <c r="CE69" s="98"/>
      <c r="CF69" s="98"/>
      <c r="CG69" s="98"/>
      <c r="CH69" s="98"/>
      <c r="CI69" s="98"/>
      <c r="CJ69" s="98"/>
      <c r="CK69" s="98"/>
      <c r="CL69" s="98"/>
      <c r="CM69" s="98"/>
      <c r="CN69" s="98"/>
      <c r="CO69" s="98"/>
      <c r="CP69" s="98"/>
      <c r="CQ69" s="98"/>
      <c r="CR69" s="98"/>
      <c r="CS69" s="98"/>
      <c r="CT69" s="98"/>
      <c r="CU69" s="98"/>
      <c r="CV69" s="98"/>
      <c r="CW69" s="98"/>
      <c r="CX69" s="98"/>
      <c r="CY69" s="98"/>
      <c r="CZ69" s="98"/>
      <c r="DA69" s="98"/>
      <c r="DB69" s="98"/>
      <c r="DC69" s="98"/>
      <c r="DD69" s="98"/>
      <c r="DE69" s="98"/>
      <c r="DF69" s="98"/>
      <c r="DG69" s="98"/>
      <c r="DH69" s="98"/>
      <c r="DI69" s="98"/>
      <c r="DJ69" s="98"/>
      <c r="DK69" s="98"/>
      <c r="DL69" s="98"/>
      <c r="DM69" s="98"/>
      <c r="DN69" s="98"/>
      <c r="DO69" s="98"/>
      <c r="DP69" s="98"/>
      <c r="DQ69" s="98"/>
      <c r="DR69" s="98"/>
      <c r="DS69" s="98"/>
      <c r="DT69" s="98"/>
      <c r="DU69" s="98"/>
      <c r="DV69" s="98"/>
      <c r="DW69" s="98"/>
      <c r="DX69" s="98"/>
      <c r="DY69" s="98"/>
      <c r="DZ69" s="98"/>
      <c r="EA69" s="98"/>
      <c r="EB69" s="98"/>
      <c r="EC69" s="98"/>
      <c r="ED69" s="98"/>
      <c r="EE69" s="98"/>
      <c r="EF69" s="98"/>
      <c r="EG69" s="98"/>
      <c r="EH69" s="98"/>
      <c r="EI69" s="98"/>
      <c r="EJ69" s="98"/>
      <c r="EK69" s="98"/>
      <c r="EL69" s="98"/>
      <c r="EM69" s="98"/>
      <c r="EN69" s="98"/>
      <c r="EO69" s="98"/>
      <c r="EP69" s="98"/>
      <c r="EQ69" s="98"/>
      <c r="ER69" s="98"/>
      <c r="ES69" s="98"/>
      <c r="ET69" s="98"/>
      <c r="EU69" s="98"/>
      <c r="EV69" s="98"/>
      <c r="EW69" s="98"/>
      <c r="EX69" s="98"/>
      <c r="EY69" s="98"/>
      <c r="EZ69" s="98"/>
      <c r="FA69" s="98"/>
      <c r="FB69" s="98"/>
      <c r="FC69" s="98"/>
      <c r="FD69" s="98"/>
      <c r="FE69" s="98"/>
      <c r="FF69" s="98"/>
      <c r="FG69" s="98"/>
      <c r="FH69" s="98"/>
      <c r="FI69" s="98"/>
      <c r="FJ69" s="98"/>
      <c r="FK69" s="98"/>
      <c r="FL69" s="98"/>
      <c r="FM69" s="98"/>
      <c r="FN69" s="98"/>
      <c r="FO69" s="98"/>
      <c r="FP69" s="9"/>
      <c r="FQ69" s="9"/>
      <c r="FR69" s="9"/>
      <c r="FS69" s="9"/>
      <c r="FT69" s="9"/>
      <c r="FU69" s="9"/>
      <c r="FV69" s="9"/>
      <c r="FW69" s="9"/>
      <c r="FX69" s="9"/>
      <c r="FY69" s="9"/>
      <c r="FZ69" s="9"/>
      <c r="GA69" s="9"/>
      <c r="GB69" s="9"/>
      <c r="GC69" s="9"/>
      <c r="GD69" s="9"/>
      <c r="GE69" s="9"/>
      <c r="GF69" s="9"/>
      <c r="GG69" s="9"/>
      <c r="GH69" s="9"/>
      <c r="GI69" s="9"/>
      <c r="GJ69" s="9"/>
    </row>
    <row r="70" spans="1:192" ht="15.75" customHeight="1">
      <c r="A70" s="148" t="s">
        <v>265</v>
      </c>
      <c r="B70" s="149" t="s">
        <v>266</v>
      </c>
      <c r="C70" s="150"/>
      <c r="D70" s="151"/>
      <c r="E70" s="152"/>
      <c r="F70" s="152"/>
      <c r="G70" s="153"/>
      <c r="I70"/>
    </row>
    <row r="71" spans="1:192" ht="31.5">
      <c r="A71" s="104">
        <f>COUNTA($D$4:D71)</f>
        <v>54</v>
      </c>
      <c r="B71" s="121" t="s">
        <v>267</v>
      </c>
      <c r="C71" s="122" t="s">
        <v>12</v>
      </c>
      <c r="D71" s="132">
        <f>+'THKL Son ba'!D66</f>
        <v>32363.788600000003</v>
      </c>
      <c r="E71" s="106"/>
      <c r="F71" s="106"/>
      <c r="G71" s="108"/>
    </row>
    <row r="72" spans="1:192" ht="31.5">
      <c r="A72" s="104">
        <f>COUNTA($D$4:D72)</f>
        <v>55</v>
      </c>
      <c r="B72" s="121" t="s">
        <v>268</v>
      </c>
      <c r="C72" s="122" t="s">
        <v>12</v>
      </c>
      <c r="D72" s="132">
        <f>+'THKL Son ba'!D67</f>
        <v>83780.444799999997</v>
      </c>
      <c r="E72" s="106"/>
      <c r="F72" s="106"/>
      <c r="G72" s="108"/>
    </row>
    <row r="73" spans="1:192" ht="31.5">
      <c r="A73" s="104">
        <f>COUNTA($D$4:D73)</f>
        <v>56</v>
      </c>
      <c r="B73" s="121" t="s">
        <v>310</v>
      </c>
      <c r="C73" s="122" t="s">
        <v>12</v>
      </c>
      <c r="D73" s="132">
        <f>+D72+D71</f>
        <v>116144.2334</v>
      </c>
      <c r="E73" s="106"/>
      <c r="F73" s="106"/>
      <c r="G73" s="108"/>
    </row>
    <row r="74" spans="1:192" ht="31.5">
      <c r="A74" s="104">
        <f>COUNTA($D$4:D74)</f>
        <v>57</v>
      </c>
      <c r="B74" s="121" t="s">
        <v>269</v>
      </c>
      <c r="C74" s="122" t="s">
        <v>12</v>
      </c>
      <c r="D74" s="132">
        <f>+'THKL Son ba'!D69</f>
        <v>10875.471400000002</v>
      </c>
      <c r="E74" s="106"/>
      <c r="F74" s="106"/>
      <c r="G74" s="108"/>
    </row>
    <row r="75" spans="1:192" ht="16.5">
      <c r="A75" s="124" t="s">
        <v>34</v>
      </c>
      <c r="B75" s="125" t="s">
        <v>270</v>
      </c>
      <c r="C75" s="122" t="s">
        <v>12</v>
      </c>
      <c r="D75" s="132"/>
      <c r="E75" s="106"/>
      <c r="F75" s="106"/>
      <c r="G75" s="108"/>
    </row>
    <row r="76" spans="1:192" ht="31.5">
      <c r="A76" s="104">
        <f>COUNTA($D$4:D76)</f>
        <v>58</v>
      </c>
      <c r="B76" s="121" t="s">
        <v>315</v>
      </c>
      <c r="C76" s="122" t="s">
        <v>12</v>
      </c>
      <c r="D76" s="132">
        <f>+'THKL Son ba'!D71</f>
        <v>23269.061360000003</v>
      </c>
      <c r="E76" s="106"/>
      <c r="F76" s="106"/>
      <c r="G76" s="108"/>
    </row>
    <row r="77" spans="1:192" ht="31.5">
      <c r="A77" s="104">
        <f>COUNTA($D$4:D77)</f>
        <v>59</v>
      </c>
      <c r="B77" s="121" t="s">
        <v>316</v>
      </c>
      <c r="C77" s="122" t="s">
        <v>12</v>
      </c>
      <c r="D77" s="132">
        <f>+D76</f>
        <v>23269.061360000003</v>
      </c>
      <c r="E77" s="106"/>
      <c r="F77" s="106"/>
      <c r="G77" s="108"/>
    </row>
    <row r="78" spans="1:192" ht="31.5">
      <c r="A78" s="104">
        <f>COUNTA($D$4:D78)</f>
        <v>60</v>
      </c>
      <c r="B78" s="121" t="s">
        <v>317</v>
      </c>
      <c r="C78" s="122" t="s">
        <v>12</v>
      </c>
      <c r="D78" s="132">
        <f>+'THKL Son ba'!D73</f>
        <v>3847.1009999999997</v>
      </c>
      <c r="E78" s="106"/>
      <c r="F78" s="106"/>
      <c r="G78" s="108"/>
    </row>
    <row r="79" spans="1:192" ht="31.5">
      <c r="A79" s="104">
        <f>COUNTA($D$4:D79)</f>
        <v>61</v>
      </c>
      <c r="B79" s="121" t="s">
        <v>271</v>
      </c>
      <c r="C79" s="122" t="s">
        <v>12</v>
      </c>
      <c r="D79" s="132">
        <f>+D31+D32+D33+D34+D35+357.2</f>
        <v>25051.964599999999</v>
      </c>
      <c r="E79" s="106"/>
      <c r="F79" s="106"/>
      <c r="G79" s="108"/>
    </row>
    <row r="80" spans="1:192" ht="16.5">
      <c r="A80" s="104">
        <f>COUNTA($D$4:D80)</f>
        <v>62</v>
      </c>
      <c r="B80" s="121" t="s">
        <v>257</v>
      </c>
      <c r="C80" s="122" t="s">
        <v>12</v>
      </c>
      <c r="D80" s="132">
        <f>+'THKL Son ba'!D75</f>
        <v>775.63</v>
      </c>
      <c r="E80" s="106"/>
      <c r="F80" s="106"/>
      <c r="G80" s="108"/>
    </row>
    <row r="81" spans="1:7" ht="16.5">
      <c r="A81" s="124" t="s">
        <v>51</v>
      </c>
      <c r="B81" s="125" t="s">
        <v>345</v>
      </c>
      <c r="C81" s="122" t="s">
        <v>12</v>
      </c>
      <c r="D81" s="132">
        <f>+'Son Epoxy'!J8</f>
        <v>1861.4333000000001</v>
      </c>
      <c r="E81" s="106"/>
      <c r="F81" s="106"/>
      <c r="G81" s="108"/>
    </row>
    <row r="82" spans="1:7">
      <c r="A82" s="104"/>
      <c r="B82" s="105"/>
      <c r="C82" s="101"/>
      <c r="D82" s="106"/>
      <c r="E82" s="106"/>
      <c r="F82" s="106"/>
      <c r="G82" s="108"/>
    </row>
    <row r="83" spans="1:7">
      <c r="A83" s="104"/>
      <c r="B83" s="105"/>
      <c r="C83" s="101"/>
      <c r="D83" s="106"/>
      <c r="E83" s="106"/>
      <c r="F83" s="106"/>
      <c r="G83" s="108"/>
    </row>
    <row r="84" spans="1:7">
      <c r="A84" s="104"/>
      <c r="B84" s="105"/>
      <c r="C84" s="101"/>
      <c r="D84" s="106"/>
      <c r="E84" s="106"/>
      <c r="F84" s="106"/>
      <c r="G84" s="108"/>
    </row>
    <row r="85" spans="1:7">
      <c r="A85" s="104"/>
      <c r="B85" s="105"/>
      <c r="C85" s="101"/>
      <c r="D85" s="106"/>
      <c r="E85" s="106"/>
      <c r="F85" s="106"/>
      <c r="G85" s="108"/>
    </row>
    <row r="86" spans="1:7">
      <c r="A86" s="104"/>
      <c r="B86" s="105"/>
      <c r="C86" s="101"/>
      <c r="D86" s="106"/>
      <c r="E86" s="106"/>
      <c r="F86" s="106"/>
      <c r="G86" s="108"/>
    </row>
    <row r="87" spans="1:7">
      <c r="A87" s="104"/>
      <c r="B87" s="105"/>
      <c r="C87" s="101"/>
      <c r="D87" s="106"/>
      <c r="E87" s="106"/>
      <c r="F87" s="106"/>
      <c r="G87" s="108"/>
    </row>
    <row r="88" spans="1:7">
      <c r="A88" s="104"/>
      <c r="B88" s="105"/>
      <c r="C88" s="101"/>
      <c r="D88" s="106"/>
      <c r="E88" s="106"/>
      <c r="F88" s="106"/>
      <c r="G88" s="108"/>
    </row>
    <row r="89" spans="1:7">
      <c r="A89" s="104"/>
      <c r="B89" s="105"/>
      <c r="C89" s="101"/>
      <c r="D89" s="106"/>
      <c r="E89" s="106"/>
      <c r="F89" s="106"/>
      <c r="G89" s="108"/>
    </row>
    <row r="90" spans="1:7">
      <c r="A90" s="104"/>
      <c r="B90" s="105"/>
      <c r="C90" s="101"/>
      <c r="D90" s="106"/>
      <c r="E90" s="106"/>
      <c r="F90" s="106"/>
      <c r="G90" s="108"/>
    </row>
    <row r="91" spans="1:7">
      <c r="A91" s="104"/>
      <c r="B91" s="105"/>
      <c r="C91" s="101"/>
      <c r="D91" s="106"/>
      <c r="E91" s="106"/>
      <c r="F91" s="106"/>
      <c r="G91" s="108"/>
    </row>
    <row r="92" spans="1:7">
      <c r="A92" s="104"/>
      <c r="B92" s="105"/>
      <c r="C92" s="101"/>
      <c r="D92" s="106"/>
      <c r="E92" s="106"/>
      <c r="F92" s="106"/>
      <c r="G92" s="108"/>
    </row>
    <row r="93" spans="1:7">
      <c r="A93" s="104"/>
      <c r="B93" s="105"/>
      <c r="C93" s="101"/>
      <c r="D93" s="106"/>
      <c r="E93" s="106"/>
      <c r="F93" s="106"/>
      <c r="G93" s="108"/>
    </row>
    <row r="94" spans="1:7">
      <c r="A94" s="104"/>
      <c r="B94" s="105"/>
      <c r="C94" s="101"/>
      <c r="D94" s="106"/>
      <c r="E94" s="106"/>
      <c r="F94" s="106"/>
      <c r="G94" s="108"/>
    </row>
    <row r="95" spans="1:7">
      <c r="A95" s="104"/>
      <c r="B95" s="105"/>
      <c r="C95" s="101"/>
      <c r="D95" s="106"/>
      <c r="E95" s="106"/>
      <c r="F95" s="106"/>
      <c r="G95" s="108"/>
    </row>
    <row r="96" spans="1:7">
      <c r="A96" s="104"/>
      <c r="B96" s="105"/>
      <c r="C96" s="101"/>
      <c r="D96" s="106"/>
      <c r="E96" s="106"/>
      <c r="F96" s="106"/>
      <c r="G96" s="108"/>
    </row>
    <row r="97" spans="1:7">
      <c r="A97" s="104"/>
      <c r="B97" s="105"/>
      <c r="C97" s="101"/>
      <c r="D97" s="106"/>
      <c r="E97" s="106"/>
      <c r="F97" s="106"/>
      <c r="G97" s="108"/>
    </row>
    <row r="98" spans="1:7">
      <c r="A98" s="104"/>
      <c r="B98" s="105"/>
      <c r="C98" s="101"/>
      <c r="D98" s="106"/>
      <c r="E98" s="106"/>
      <c r="F98" s="106"/>
      <c r="G98" s="108"/>
    </row>
    <row r="99" spans="1:7">
      <c r="A99" s="104"/>
      <c r="B99" s="105"/>
      <c r="C99" s="101"/>
      <c r="D99" s="106"/>
      <c r="E99" s="106"/>
      <c r="F99" s="106"/>
      <c r="G99" s="108"/>
    </row>
    <row r="100" spans="1:7">
      <c r="A100" s="104"/>
      <c r="B100" s="105"/>
      <c r="C100" s="101"/>
      <c r="D100" s="106"/>
      <c r="E100" s="106"/>
      <c r="F100" s="106"/>
      <c r="G100" s="108"/>
    </row>
    <row r="101" spans="1:7">
      <c r="A101" s="104"/>
      <c r="B101" s="105"/>
      <c r="C101" s="101"/>
      <c r="D101" s="106"/>
      <c r="E101" s="106"/>
      <c r="F101" s="106"/>
      <c r="G101" s="108"/>
    </row>
    <row r="102" spans="1:7">
      <c r="A102" s="104"/>
      <c r="B102" s="105"/>
      <c r="C102" s="101"/>
      <c r="D102" s="106"/>
      <c r="E102" s="106"/>
      <c r="F102" s="106"/>
      <c r="G102" s="108"/>
    </row>
    <row r="103" spans="1:7">
      <c r="A103" s="104"/>
      <c r="B103" s="105"/>
      <c r="C103" s="101"/>
      <c r="D103" s="106"/>
      <c r="E103" s="106"/>
      <c r="F103" s="106"/>
      <c r="G103" s="108"/>
    </row>
    <row r="104" spans="1:7">
      <c r="A104" s="104"/>
      <c r="B104" s="105"/>
      <c r="C104" s="101"/>
      <c r="D104" s="106"/>
      <c r="E104" s="106"/>
      <c r="F104" s="106"/>
      <c r="G104" s="108"/>
    </row>
    <row r="105" spans="1:7">
      <c r="A105" s="104"/>
      <c r="B105" s="105"/>
      <c r="C105" s="101"/>
      <c r="D105" s="106"/>
      <c r="E105" s="106"/>
      <c r="F105" s="106"/>
      <c r="G105" s="108"/>
    </row>
    <row r="106" spans="1:7">
      <c r="A106" s="104"/>
      <c r="B106" s="105"/>
      <c r="C106" s="101"/>
      <c r="D106" s="106"/>
      <c r="E106" s="106"/>
      <c r="F106" s="106"/>
      <c r="G106" s="108"/>
    </row>
    <row r="107" spans="1:7">
      <c r="A107" s="104"/>
      <c r="B107" s="105"/>
      <c r="C107" s="101"/>
      <c r="D107" s="106"/>
      <c r="E107" s="106"/>
      <c r="F107" s="106"/>
      <c r="G107" s="108"/>
    </row>
    <row r="108" spans="1:7">
      <c r="A108" s="104"/>
      <c r="B108" s="105"/>
      <c r="C108" s="101"/>
      <c r="D108" s="106"/>
      <c r="E108" s="106"/>
      <c r="F108" s="106"/>
      <c r="G108" s="108"/>
    </row>
  </sheetData>
  <conditionalFormatting sqref="D1:F4">
    <cfRule type="containsErrors" dxfId="8" priority="1">
      <formula>ISERROR(D1)</formula>
    </cfRule>
  </conditionalFormatting>
  <conditionalFormatting sqref="D109:F65182">
    <cfRule type="containsErrors" dxfId="7" priority="2">
      <formula>ISERROR(D109)</formula>
    </cfRule>
  </conditionalFormatting>
  <printOptions horizontalCentered="1"/>
  <pageMargins left="0.45" right="0.45" top="0.5" bottom="0.5" header="0.3" footer="0.3"/>
  <pageSetup paperSize="9" scale="80"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A77CF-3591-479B-BFEE-BA84B63A30B7}">
  <sheetPr>
    <tabColor rgb="FFFF0000"/>
  </sheetPr>
  <dimension ref="A1:HI79"/>
  <sheetViews>
    <sheetView topLeftCell="A4" zoomScale="85" zoomScaleNormal="85" workbookViewId="0">
      <pane ySplit="1" topLeftCell="A5" activePane="bottomLeft" state="frozen"/>
      <selection activeCell="I17" sqref="I17"/>
      <selection pane="bottomLeft" activeCell="F77" sqref="F77"/>
    </sheetView>
  </sheetViews>
  <sheetFormatPr defaultColWidth="8.5703125" defaultRowHeight="16.5"/>
  <cols>
    <col min="1" max="1" width="6.7109375" style="26" customWidth="1"/>
    <col min="2" max="2" width="50.85546875" style="27" customWidth="1"/>
    <col min="3" max="3" width="9.5703125" style="28" customWidth="1"/>
    <col min="4" max="4" width="19.42578125" style="140" customWidth="1"/>
    <col min="5" max="14" width="19.42578125" style="28" customWidth="1"/>
    <col min="15" max="15" width="36" style="29" customWidth="1"/>
    <col min="16" max="16" width="14.28515625" style="26" customWidth="1"/>
    <col min="17" max="18" width="8.5703125" style="26"/>
    <col min="19" max="19" width="35.5703125" style="26" customWidth="1"/>
    <col min="20" max="20" width="19.28515625" style="26" customWidth="1"/>
    <col min="21" max="217" width="8.5703125" style="26"/>
    <col min="218" max="230" width="8.5703125" style="9"/>
    <col min="231" max="231" width="5.42578125" style="9" customWidth="1"/>
    <col min="232" max="232" width="50.85546875" style="9" customWidth="1"/>
    <col min="233" max="233" width="9.5703125" style="9" customWidth="1"/>
    <col min="234" max="235" width="11.85546875" style="9" customWidth="1"/>
    <col min="236" max="236" width="14.42578125" style="9" customWidth="1"/>
    <col min="237" max="237" width="16.140625" style="9" customWidth="1"/>
    <col min="238" max="239" width="17.85546875" style="9" bestFit="1" customWidth="1"/>
    <col min="240" max="240" width="19.140625" style="9" bestFit="1" customWidth="1"/>
    <col min="241" max="241" width="19.42578125" style="9" customWidth="1"/>
    <col min="242" max="246" width="0" style="9" hidden="1" customWidth="1"/>
    <col min="247" max="247" width="16.140625" style="9" customWidth="1"/>
    <col min="248" max="249" width="17.85546875" style="9" bestFit="1" customWidth="1"/>
    <col min="250" max="486" width="8.5703125" style="9"/>
    <col min="487" max="487" width="5.42578125" style="9" customWidth="1"/>
    <col min="488" max="488" width="50.85546875" style="9" customWidth="1"/>
    <col min="489" max="489" width="9.5703125" style="9" customWidth="1"/>
    <col min="490" max="491" width="11.85546875" style="9" customWidth="1"/>
    <col min="492" max="492" width="14.42578125" style="9" customWidth="1"/>
    <col min="493" max="493" width="16.140625" style="9" customWidth="1"/>
    <col min="494" max="495" width="17.85546875" style="9" bestFit="1" customWidth="1"/>
    <col min="496" max="496" width="19.140625" style="9" bestFit="1" customWidth="1"/>
    <col min="497" max="497" width="19.42578125" style="9" customWidth="1"/>
    <col min="498" max="502" width="0" style="9" hidden="1" customWidth="1"/>
    <col min="503" max="503" width="16.140625" style="9" customWidth="1"/>
    <col min="504" max="505" width="17.85546875" style="9" bestFit="1" customWidth="1"/>
    <col min="506" max="742" width="8.5703125" style="9"/>
    <col min="743" max="743" width="5.42578125" style="9" customWidth="1"/>
    <col min="744" max="744" width="50.85546875" style="9" customWidth="1"/>
    <col min="745" max="745" width="9.5703125" style="9" customWidth="1"/>
    <col min="746" max="747" width="11.85546875" style="9" customWidth="1"/>
    <col min="748" max="748" width="14.42578125" style="9" customWidth="1"/>
    <col min="749" max="749" width="16.140625" style="9" customWidth="1"/>
    <col min="750" max="751" width="17.85546875" style="9" bestFit="1" customWidth="1"/>
    <col min="752" max="752" width="19.140625" style="9" bestFit="1" customWidth="1"/>
    <col min="753" max="753" width="19.42578125" style="9" customWidth="1"/>
    <col min="754" max="758" width="0" style="9" hidden="1" customWidth="1"/>
    <col min="759" max="759" width="16.140625" style="9" customWidth="1"/>
    <col min="760" max="761" width="17.85546875" style="9" bestFit="1" customWidth="1"/>
    <col min="762" max="998" width="8.5703125" style="9"/>
    <col min="999" max="999" width="5.42578125" style="9" customWidth="1"/>
    <col min="1000" max="1000" width="50.85546875" style="9" customWidth="1"/>
    <col min="1001" max="1001" width="9.5703125" style="9" customWidth="1"/>
    <col min="1002" max="1003" width="11.85546875" style="9" customWidth="1"/>
    <col min="1004" max="1004" width="14.42578125" style="9" customWidth="1"/>
    <col min="1005" max="1005" width="16.140625" style="9" customWidth="1"/>
    <col min="1006" max="1007" width="17.85546875" style="9" bestFit="1" customWidth="1"/>
    <col min="1008" max="1008" width="19.140625" style="9" bestFit="1" customWidth="1"/>
    <col min="1009" max="1009" width="19.42578125" style="9" customWidth="1"/>
    <col min="1010" max="1014" width="0" style="9" hidden="1" customWidth="1"/>
    <col min="1015" max="1015" width="16.140625" style="9" customWidth="1"/>
    <col min="1016" max="1017" width="17.85546875" style="9" bestFit="1" customWidth="1"/>
    <col min="1018" max="1254" width="8.5703125" style="9"/>
    <col min="1255" max="1255" width="5.42578125" style="9" customWidth="1"/>
    <col min="1256" max="1256" width="50.85546875" style="9" customWidth="1"/>
    <col min="1257" max="1257" width="9.5703125" style="9" customWidth="1"/>
    <col min="1258" max="1259" width="11.85546875" style="9" customWidth="1"/>
    <col min="1260" max="1260" width="14.42578125" style="9" customWidth="1"/>
    <col min="1261" max="1261" width="16.140625" style="9" customWidth="1"/>
    <col min="1262" max="1263" width="17.85546875" style="9" bestFit="1" customWidth="1"/>
    <col min="1264" max="1264" width="19.140625" style="9" bestFit="1" customWidth="1"/>
    <col min="1265" max="1265" width="19.42578125" style="9" customWidth="1"/>
    <col min="1266" max="1270" width="0" style="9" hidden="1" customWidth="1"/>
    <col min="1271" max="1271" width="16.140625" style="9" customWidth="1"/>
    <col min="1272" max="1273" width="17.85546875" style="9" bestFit="1" customWidth="1"/>
    <col min="1274" max="1510" width="8.5703125" style="9"/>
    <col min="1511" max="1511" width="5.42578125" style="9" customWidth="1"/>
    <col min="1512" max="1512" width="50.85546875" style="9" customWidth="1"/>
    <col min="1513" max="1513" width="9.5703125" style="9" customWidth="1"/>
    <col min="1514" max="1515" width="11.85546875" style="9" customWidth="1"/>
    <col min="1516" max="1516" width="14.42578125" style="9" customWidth="1"/>
    <col min="1517" max="1517" width="16.140625" style="9" customWidth="1"/>
    <col min="1518" max="1519" width="17.85546875" style="9" bestFit="1" customWidth="1"/>
    <col min="1520" max="1520" width="19.140625" style="9" bestFit="1" customWidth="1"/>
    <col min="1521" max="1521" width="19.42578125" style="9" customWidth="1"/>
    <col min="1522" max="1526" width="0" style="9" hidden="1" customWidth="1"/>
    <col min="1527" max="1527" width="16.140625" style="9" customWidth="1"/>
    <col min="1528" max="1529" width="17.85546875" style="9" bestFit="1" customWidth="1"/>
    <col min="1530" max="1766" width="8.5703125" style="9"/>
    <col min="1767" max="1767" width="5.42578125" style="9" customWidth="1"/>
    <col min="1768" max="1768" width="50.85546875" style="9" customWidth="1"/>
    <col min="1769" max="1769" width="9.5703125" style="9" customWidth="1"/>
    <col min="1770" max="1771" width="11.85546875" style="9" customWidth="1"/>
    <col min="1772" max="1772" width="14.42578125" style="9" customWidth="1"/>
    <col min="1773" max="1773" width="16.140625" style="9" customWidth="1"/>
    <col min="1774" max="1775" width="17.85546875" style="9" bestFit="1" customWidth="1"/>
    <col min="1776" max="1776" width="19.140625" style="9" bestFit="1" customWidth="1"/>
    <col min="1777" max="1777" width="19.42578125" style="9" customWidth="1"/>
    <col min="1778" max="1782" width="0" style="9" hidden="1" customWidth="1"/>
    <col min="1783" max="1783" width="16.140625" style="9" customWidth="1"/>
    <col min="1784" max="1785" width="17.85546875" style="9" bestFit="1" customWidth="1"/>
    <col min="1786" max="2022" width="8.5703125" style="9"/>
    <col min="2023" max="2023" width="5.42578125" style="9" customWidth="1"/>
    <col min="2024" max="2024" width="50.85546875" style="9" customWidth="1"/>
    <col min="2025" max="2025" width="9.5703125" style="9" customWidth="1"/>
    <col min="2026" max="2027" width="11.85546875" style="9" customWidth="1"/>
    <col min="2028" max="2028" width="14.42578125" style="9" customWidth="1"/>
    <col min="2029" max="2029" width="16.140625" style="9" customWidth="1"/>
    <col min="2030" max="2031" width="17.85546875" style="9" bestFit="1" customWidth="1"/>
    <col min="2032" max="2032" width="19.140625" style="9" bestFit="1" customWidth="1"/>
    <col min="2033" max="2033" width="19.42578125" style="9" customWidth="1"/>
    <col min="2034" max="2038" width="0" style="9" hidden="1" customWidth="1"/>
    <col min="2039" max="2039" width="16.140625" style="9" customWidth="1"/>
    <col min="2040" max="2041" width="17.85546875" style="9" bestFit="1" customWidth="1"/>
    <col min="2042" max="2278" width="8.5703125" style="9"/>
    <col min="2279" max="2279" width="5.42578125" style="9" customWidth="1"/>
    <col min="2280" max="2280" width="50.85546875" style="9" customWidth="1"/>
    <col min="2281" max="2281" width="9.5703125" style="9" customWidth="1"/>
    <col min="2282" max="2283" width="11.85546875" style="9" customWidth="1"/>
    <col min="2284" max="2284" width="14.42578125" style="9" customWidth="1"/>
    <col min="2285" max="2285" width="16.140625" style="9" customWidth="1"/>
    <col min="2286" max="2287" width="17.85546875" style="9" bestFit="1" customWidth="1"/>
    <col min="2288" max="2288" width="19.140625" style="9" bestFit="1" customWidth="1"/>
    <col min="2289" max="2289" width="19.42578125" style="9" customWidth="1"/>
    <col min="2290" max="2294" width="0" style="9" hidden="1" customWidth="1"/>
    <col min="2295" max="2295" width="16.140625" style="9" customWidth="1"/>
    <col min="2296" max="2297" width="17.85546875" style="9" bestFit="1" customWidth="1"/>
    <col min="2298" max="2534" width="8.5703125" style="9"/>
    <col min="2535" max="2535" width="5.42578125" style="9" customWidth="1"/>
    <col min="2536" max="2536" width="50.85546875" style="9" customWidth="1"/>
    <col min="2537" max="2537" width="9.5703125" style="9" customWidth="1"/>
    <col min="2538" max="2539" width="11.85546875" style="9" customWidth="1"/>
    <col min="2540" max="2540" width="14.42578125" style="9" customWidth="1"/>
    <col min="2541" max="2541" width="16.140625" style="9" customWidth="1"/>
    <col min="2542" max="2543" width="17.85546875" style="9" bestFit="1" customWidth="1"/>
    <col min="2544" max="2544" width="19.140625" style="9" bestFit="1" customWidth="1"/>
    <col min="2545" max="2545" width="19.42578125" style="9" customWidth="1"/>
    <col min="2546" max="2550" width="0" style="9" hidden="1" customWidth="1"/>
    <col min="2551" max="2551" width="16.140625" style="9" customWidth="1"/>
    <col min="2552" max="2553" width="17.85546875" style="9" bestFit="1" customWidth="1"/>
    <col min="2554" max="2790" width="8.5703125" style="9"/>
    <col min="2791" max="2791" width="5.42578125" style="9" customWidth="1"/>
    <col min="2792" max="2792" width="50.85546875" style="9" customWidth="1"/>
    <col min="2793" max="2793" width="9.5703125" style="9" customWidth="1"/>
    <col min="2794" max="2795" width="11.85546875" style="9" customWidth="1"/>
    <col min="2796" max="2796" width="14.42578125" style="9" customWidth="1"/>
    <col min="2797" max="2797" width="16.140625" style="9" customWidth="1"/>
    <col min="2798" max="2799" width="17.85546875" style="9" bestFit="1" customWidth="1"/>
    <col min="2800" max="2800" width="19.140625" style="9" bestFit="1" customWidth="1"/>
    <col min="2801" max="2801" width="19.42578125" style="9" customWidth="1"/>
    <col min="2802" max="2806" width="0" style="9" hidden="1" customWidth="1"/>
    <col min="2807" max="2807" width="16.140625" style="9" customWidth="1"/>
    <col min="2808" max="2809" width="17.85546875" style="9" bestFit="1" customWidth="1"/>
    <col min="2810" max="3046" width="8.5703125" style="9"/>
    <col min="3047" max="3047" width="5.42578125" style="9" customWidth="1"/>
    <col min="3048" max="3048" width="50.85546875" style="9" customWidth="1"/>
    <col min="3049" max="3049" width="9.5703125" style="9" customWidth="1"/>
    <col min="3050" max="3051" width="11.85546875" style="9" customWidth="1"/>
    <col min="3052" max="3052" width="14.42578125" style="9" customWidth="1"/>
    <col min="3053" max="3053" width="16.140625" style="9" customWidth="1"/>
    <col min="3054" max="3055" width="17.85546875" style="9" bestFit="1" customWidth="1"/>
    <col min="3056" max="3056" width="19.140625" style="9" bestFit="1" customWidth="1"/>
    <col min="3057" max="3057" width="19.42578125" style="9" customWidth="1"/>
    <col min="3058" max="3062" width="0" style="9" hidden="1" customWidth="1"/>
    <col min="3063" max="3063" width="16.140625" style="9" customWidth="1"/>
    <col min="3064" max="3065" width="17.85546875" style="9" bestFit="1" customWidth="1"/>
    <col min="3066" max="3302" width="8.5703125" style="9"/>
    <col min="3303" max="3303" width="5.42578125" style="9" customWidth="1"/>
    <col min="3304" max="3304" width="50.85546875" style="9" customWidth="1"/>
    <col min="3305" max="3305" width="9.5703125" style="9" customWidth="1"/>
    <col min="3306" max="3307" width="11.85546875" style="9" customWidth="1"/>
    <col min="3308" max="3308" width="14.42578125" style="9" customWidth="1"/>
    <col min="3309" max="3309" width="16.140625" style="9" customWidth="1"/>
    <col min="3310" max="3311" width="17.85546875" style="9" bestFit="1" customWidth="1"/>
    <col min="3312" max="3312" width="19.140625" style="9" bestFit="1" customWidth="1"/>
    <col min="3313" max="3313" width="19.42578125" style="9" customWidth="1"/>
    <col min="3314" max="3318" width="0" style="9" hidden="1" customWidth="1"/>
    <col min="3319" max="3319" width="16.140625" style="9" customWidth="1"/>
    <col min="3320" max="3321" width="17.85546875" style="9" bestFit="1" customWidth="1"/>
    <col min="3322" max="3558" width="8.5703125" style="9"/>
    <col min="3559" max="3559" width="5.42578125" style="9" customWidth="1"/>
    <col min="3560" max="3560" width="50.85546875" style="9" customWidth="1"/>
    <col min="3561" max="3561" width="9.5703125" style="9" customWidth="1"/>
    <col min="3562" max="3563" width="11.85546875" style="9" customWidth="1"/>
    <col min="3564" max="3564" width="14.42578125" style="9" customWidth="1"/>
    <col min="3565" max="3565" width="16.140625" style="9" customWidth="1"/>
    <col min="3566" max="3567" width="17.85546875" style="9" bestFit="1" customWidth="1"/>
    <col min="3568" max="3568" width="19.140625" style="9" bestFit="1" customWidth="1"/>
    <col min="3569" max="3569" width="19.42578125" style="9" customWidth="1"/>
    <col min="3570" max="3574" width="0" style="9" hidden="1" customWidth="1"/>
    <col min="3575" max="3575" width="16.140625" style="9" customWidth="1"/>
    <col min="3576" max="3577" width="17.85546875" style="9" bestFit="1" customWidth="1"/>
    <col min="3578" max="3814" width="8.5703125" style="9"/>
    <col min="3815" max="3815" width="5.42578125" style="9" customWidth="1"/>
    <col min="3816" max="3816" width="50.85546875" style="9" customWidth="1"/>
    <col min="3817" max="3817" width="9.5703125" style="9" customWidth="1"/>
    <col min="3818" max="3819" width="11.85546875" style="9" customWidth="1"/>
    <col min="3820" max="3820" width="14.42578125" style="9" customWidth="1"/>
    <col min="3821" max="3821" width="16.140625" style="9" customWidth="1"/>
    <col min="3822" max="3823" width="17.85546875" style="9" bestFit="1" customWidth="1"/>
    <col min="3824" max="3824" width="19.140625" style="9" bestFit="1" customWidth="1"/>
    <col min="3825" max="3825" width="19.42578125" style="9" customWidth="1"/>
    <col min="3826" max="3830" width="0" style="9" hidden="1" customWidth="1"/>
    <col min="3831" max="3831" width="16.140625" style="9" customWidth="1"/>
    <col min="3832" max="3833" width="17.85546875" style="9" bestFit="1" customWidth="1"/>
    <col min="3834" max="4070" width="8.5703125" style="9"/>
    <col min="4071" max="4071" width="5.42578125" style="9" customWidth="1"/>
    <col min="4072" max="4072" width="50.85546875" style="9" customWidth="1"/>
    <col min="4073" max="4073" width="9.5703125" style="9" customWidth="1"/>
    <col min="4074" max="4075" width="11.85546875" style="9" customWidth="1"/>
    <col min="4076" max="4076" width="14.42578125" style="9" customWidth="1"/>
    <col min="4077" max="4077" width="16.140625" style="9" customWidth="1"/>
    <col min="4078" max="4079" width="17.85546875" style="9" bestFit="1" customWidth="1"/>
    <col min="4080" max="4080" width="19.140625" style="9" bestFit="1" customWidth="1"/>
    <col min="4081" max="4081" width="19.42578125" style="9" customWidth="1"/>
    <col min="4082" max="4086" width="0" style="9" hidden="1" customWidth="1"/>
    <col min="4087" max="4087" width="16.140625" style="9" customWidth="1"/>
    <col min="4088" max="4089" width="17.85546875" style="9" bestFit="1" customWidth="1"/>
    <col min="4090" max="4326" width="8.5703125" style="9"/>
    <col min="4327" max="4327" width="5.42578125" style="9" customWidth="1"/>
    <col min="4328" max="4328" width="50.85546875" style="9" customWidth="1"/>
    <col min="4329" max="4329" width="9.5703125" style="9" customWidth="1"/>
    <col min="4330" max="4331" width="11.85546875" style="9" customWidth="1"/>
    <col min="4332" max="4332" width="14.42578125" style="9" customWidth="1"/>
    <col min="4333" max="4333" width="16.140625" style="9" customWidth="1"/>
    <col min="4334" max="4335" width="17.85546875" style="9" bestFit="1" customWidth="1"/>
    <col min="4336" max="4336" width="19.140625" style="9" bestFit="1" customWidth="1"/>
    <col min="4337" max="4337" width="19.42578125" style="9" customWidth="1"/>
    <col min="4338" max="4342" width="0" style="9" hidden="1" customWidth="1"/>
    <col min="4343" max="4343" width="16.140625" style="9" customWidth="1"/>
    <col min="4344" max="4345" width="17.85546875" style="9" bestFit="1" customWidth="1"/>
    <col min="4346" max="4582" width="8.5703125" style="9"/>
    <col min="4583" max="4583" width="5.42578125" style="9" customWidth="1"/>
    <col min="4584" max="4584" width="50.85546875" style="9" customWidth="1"/>
    <col min="4585" max="4585" width="9.5703125" style="9" customWidth="1"/>
    <col min="4586" max="4587" width="11.85546875" style="9" customWidth="1"/>
    <col min="4588" max="4588" width="14.42578125" style="9" customWidth="1"/>
    <col min="4589" max="4589" width="16.140625" style="9" customWidth="1"/>
    <col min="4590" max="4591" width="17.85546875" style="9" bestFit="1" customWidth="1"/>
    <col min="4592" max="4592" width="19.140625" style="9" bestFit="1" customWidth="1"/>
    <col min="4593" max="4593" width="19.42578125" style="9" customWidth="1"/>
    <col min="4594" max="4598" width="0" style="9" hidden="1" customWidth="1"/>
    <col min="4599" max="4599" width="16.140625" style="9" customWidth="1"/>
    <col min="4600" max="4601" width="17.85546875" style="9" bestFit="1" customWidth="1"/>
    <col min="4602" max="4838" width="8.5703125" style="9"/>
    <col min="4839" max="4839" width="5.42578125" style="9" customWidth="1"/>
    <col min="4840" max="4840" width="50.85546875" style="9" customWidth="1"/>
    <col min="4841" max="4841" width="9.5703125" style="9" customWidth="1"/>
    <col min="4842" max="4843" width="11.85546875" style="9" customWidth="1"/>
    <col min="4844" max="4844" width="14.42578125" style="9" customWidth="1"/>
    <col min="4845" max="4845" width="16.140625" style="9" customWidth="1"/>
    <col min="4846" max="4847" width="17.85546875" style="9" bestFit="1" customWidth="1"/>
    <col min="4848" max="4848" width="19.140625" style="9" bestFit="1" customWidth="1"/>
    <col min="4849" max="4849" width="19.42578125" style="9" customWidth="1"/>
    <col min="4850" max="4854" width="0" style="9" hidden="1" customWidth="1"/>
    <col min="4855" max="4855" width="16.140625" style="9" customWidth="1"/>
    <col min="4856" max="4857" width="17.85546875" style="9" bestFit="1" customWidth="1"/>
    <col min="4858" max="5094" width="8.5703125" style="9"/>
    <col min="5095" max="5095" width="5.42578125" style="9" customWidth="1"/>
    <col min="5096" max="5096" width="50.85546875" style="9" customWidth="1"/>
    <col min="5097" max="5097" width="9.5703125" style="9" customWidth="1"/>
    <col min="5098" max="5099" width="11.85546875" style="9" customWidth="1"/>
    <col min="5100" max="5100" width="14.42578125" style="9" customWidth="1"/>
    <col min="5101" max="5101" width="16.140625" style="9" customWidth="1"/>
    <col min="5102" max="5103" width="17.85546875" style="9" bestFit="1" customWidth="1"/>
    <col min="5104" max="5104" width="19.140625" style="9" bestFit="1" customWidth="1"/>
    <col min="5105" max="5105" width="19.42578125" style="9" customWidth="1"/>
    <col min="5106" max="5110" width="0" style="9" hidden="1" customWidth="1"/>
    <col min="5111" max="5111" width="16.140625" style="9" customWidth="1"/>
    <col min="5112" max="5113" width="17.85546875" style="9" bestFit="1" customWidth="1"/>
    <col min="5114" max="5350" width="8.5703125" style="9"/>
    <col min="5351" max="5351" width="5.42578125" style="9" customWidth="1"/>
    <col min="5352" max="5352" width="50.85546875" style="9" customWidth="1"/>
    <col min="5353" max="5353" width="9.5703125" style="9" customWidth="1"/>
    <col min="5354" max="5355" width="11.85546875" style="9" customWidth="1"/>
    <col min="5356" max="5356" width="14.42578125" style="9" customWidth="1"/>
    <col min="5357" max="5357" width="16.140625" style="9" customWidth="1"/>
    <col min="5358" max="5359" width="17.85546875" style="9" bestFit="1" customWidth="1"/>
    <col min="5360" max="5360" width="19.140625" style="9" bestFit="1" customWidth="1"/>
    <col min="5361" max="5361" width="19.42578125" style="9" customWidth="1"/>
    <col min="5362" max="5366" width="0" style="9" hidden="1" customWidth="1"/>
    <col min="5367" max="5367" width="16.140625" style="9" customWidth="1"/>
    <col min="5368" max="5369" width="17.85546875" style="9" bestFit="1" customWidth="1"/>
    <col min="5370" max="5606" width="8.5703125" style="9"/>
    <col min="5607" max="5607" width="5.42578125" style="9" customWidth="1"/>
    <col min="5608" max="5608" width="50.85546875" style="9" customWidth="1"/>
    <col min="5609" max="5609" width="9.5703125" style="9" customWidth="1"/>
    <col min="5610" max="5611" width="11.85546875" style="9" customWidth="1"/>
    <col min="5612" max="5612" width="14.42578125" style="9" customWidth="1"/>
    <col min="5613" max="5613" width="16.140625" style="9" customWidth="1"/>
    <col min="5614" max="5615" width="17.85546875" style="9" bestFit="1" customWidth="1"/>
    <col min="5616" max="5616" width="19.140625" style="9" bestFit="1" customWidth="1"/>
    <col min="5617" max="5617" width="19.42578125" style="9" customWidth="1"/>
    <col min="5618" max="5622" width="0" style="9" hidden="1" customWidth="1"/>
    <col min="5623" max="5623" width="16.140625" style="9" customWidth="1"/>
    <col min="5624" max="5625" width="17.85546875" style="9" bestFit="1" customWidth="1"/>
    <col min="5626" max="5862" width="8.5703125" style="9"/>
    <col min="5863" max="5863" width="5.42578125" style="9" customWidth="1"/>
    <col min="5864" max="5864" width="50.85546875" style="9" customWidth="1"/>
    <col min="5865" max="5865" width="9.5703125" style="9" customWidth="1"/>
    <col min="5866" max="5867" width="11.85546875" style="9" customWidth="1"/>
    <col min="5868" max="5868" width="14.42578125" style="9" customWidth="1"/>
    <col min="5869" max="5869" width="16.140625" style="9" customWidth="1"/>
    <col min="5870" max="5871" width="17.85546875" style="9" bestFit="1" customWidth="1"/>
    <col min="5872" max="5872" width="19.140625" style="9" bestFit="1" customWidth="1"/>
    <col min="5873" max="5873" width="19.42578125" style="9" customWidth="1"/>
    <col min="5874" max="5878" width="0" style="9" hidden="1" customWidth="1"/>
    <col min="5879" max="5879" width="16.140625" style="9" customWidth="1"/>
    <col min="5880" max="5881" width="17.85546875" style="9" bestFit="1" customWidth="1"/>
    <col min="5882" max="6118" width="8.5703125" style="9"/>
    <col min="6119" max="6119" width="5.42578125" style="9" customWidth="1"/>
    <col min="6120" max="6120" width="50.85546875" style="9" customWidth="1"/>
    <col min="6121" max="6121" width="9.5703125" style="9" customWidth="1"/>
    <col min="6122" max="6123" width="11.85546875" style="9" customWidth="1"/>
    <col min="6124" max="6124" width="14.42578125" style="9" customWidth="1"/>
    <col min="6125" max="6125" width="16.140625" style="9" customWidth="1"/>
    <col min="6126" max="6127" width="17.85546875" style="9" bestFit="1" customWidth="1"/>
    <col min="6128" max="6128" width="19.140625" style="9" bestFit="1" customWidth="1"/>
    <col min="6129" max="6129" width="19.42578125" style="9" customWidth="1"/>
    <col min="6130" max="6134" width="0" style="9" hidden="1" customWidth="1"/>
    <col min="6135" max="6135" width="16.140625" style="9" customWidth="1"/>
    <col min="6136" max="6137" width="17.85546875" style="9" bestFit="1" customWidth="1"/>
    <col min="6138" max="6374" width="8.5703125" style="9"/>
    <col min="6375" max="6375" width="5.42578125" style="9" customWidth="1"/>
    <col min="6376" max="6376" width="50.85546875" style="9" customWidth="1"/>
    <col min="6377" max="6377" width="9.5703125" style="9" customWidth="1"/>
    <col min="6378" max="6379" width="11.85546875" style="9" customWidth="1"/>
    <col min="6380" max="6380" width="14.42578125" style="9" customWidth="1"/>
    <col min="6381" max="6381" width="16.140625" style="9" customWidth="1"/>
    <col min="6382" max="6383" width="17.85546875" style="9" bestFit="1" customWidth="1"/>
    <col min="6384" max="6384" width="19.140625" style="9" bestFit="1" customWidth="1"/>
    <col min="6385" max="6385" width="19.42578125" style="9" customWidth="1"/>
    <col min="6386" max="6390" width="0" style="9" hidden="1" customWidth="1"/>
    <col min="6391" max="6391" width="16.140625" style="9" customWidth="1"/>
    <col min="6392" max="6393" width="17.85546875" style="9" bestFit="1" customWidth="1"/>
    <col min="6394" max="6630" width="8.5703125" style="9"/>
    <col min="6631" max="6631" width="5.42578125" style="9" customWidth="1"/>
    <col min="6632" max="6632" width="50.85546875" style="9" customWidth="1"/>
    <col min="6633" max="6633" width="9.5703125" style="9" customWidth="1"/>
    <col min="6634" max="6635" width="11.85546875" style="9" customWidth="1"/>
    <col min="6636" max="6636" width="14.42578125" style="9" customWidth="1"/>
    <col min="6637" max="6637" width="16.140625" style="9" customWidth="1"/>
    <col min="6638" max="6639" width="17.85546875" style="9" bestFit="1" customWidth="1"/>
    <col min="6640" max="6640" width="19.140625" style="9" bestFit="1" customWidth="1"/>
    <col min="6641" max="6641" width="19.42578125" style="9" customWidth="1"/>
    <col min="6642" max="6646" width="0" style="9" hidden="1" customWidth="1"/>
    <col min="6647" max="6647" width="16.140625" style="9" customWidth="1"/>
    <col min="6648" max="6649" width="17.85546875" style="9" bestFit="1" customWidth="1"/>
    <col min="6650" max="6886" width="8.5703125" style="9"/>
    <col min="6887" max="6887" width="5.42578125" style="9" customWidth="1"/>
    <col min="6888" max="6888" width="50.85546875" style="9" customWidth="1"/>
    <col min="6889" max="6889" width="9.5703125" style="9" customWidth="1"/>
    <col min="6890" max="6891" width="11.85546875" style="9" customWidth="1"/>
    <col min="6892" max="6892" width="14.42578125" style="9" customWidth="1"/>
    <col min="6893" max="6893" width="16.140625" style="9" customWidth="1"/>
    <col min="6894" max="6895" width="17.85546875" style="9" bestFit="1" customWidth="1"/>
    <col min="6896" max="6896" width="19.140625" style="9" bestFit="1" customWidth="1"/>
    <col min="6897" max="6897" width="19.42578125" style="9" customWidth="1"/>
    <col min="6898" max="6902" width="0" style="9" hidden="1" customWidth="1"/>
    <col min="6903" max="6903" width="16.140625" style="9" customWidth="1"/>
    <col min="6904" max="6905" width="17.85546875" style="9" bestFit="1" customWidth="1"/>
    <col min="6906" max="7142" width="8.5703125" style="9"/>
    <col min="7143" max="7143" width="5.42578125" style="9" customWidth="1"/>
    <col min="7144" max="7144" width="50.85546875" style="9" customWidth="1"/>
    <col min="7145" max="7145" width="9.5703125" style="9" customWidth="1"/>
    <col min="7146" max="7147" width="11.85546875" style="9" customWidth="1"/>
    <col min="7148" max="7148" width="14.42578125" style="9" customWidth="1"/>
    <col min="7149" max="7149" width="16.140625" style="9" customWidth="1"/>
    <col min="7150" max="7151" width="17.85546875" style="9" bestFit="1" customWidth="1"/>
    <col min="7152" max="7152" width="19.140625" style="9" bestFit="1" customWidth="1"/>
    <col min="7153" max="7153" width="19.42578125" style="9" customWidth="1"/>
    <col min="7154" max="7158" width="0" style="9" hidden="1" customWidth="1"/>
    <col min="7159" max="7159" width="16.140625" style="9" customWidth="1"/>
    <col min="7160" max="7161" width="17.85546875" style="9" bestFit="1" customWidth="1"/>
    <col min="7162" max="7398" width="8.5703125" style="9"/>
    <col min="7399" max="7399" width="5.42578125" style="9" customWidth="1"/>
    <col min="7400" max="7400" width="50.85546875" style="9" customWidth="1"/>
    <col min="7401" max="7401" width="9.5703125" style="9" customWidth="1"/>
    <col min="7402" max="7403" width="11.85546875" style="9" customWidth="1"/>
    <col min="7404" max="7404" width="14.42578125" style="9" customWidth="1"/>
    <col min="7405" max="7405" width="16.140625" style="9" customWidth="1"/>
    <col min="7406" max="7407" width="17.85546875" style="9" bestFit="1" customWidth="1"/>
    <col min="7408" max="7408" width="19.140625" style="9" bestFit="1" customWidth="1"/>
    <col min="7409" max="7409" width="19.42578125" style="9" customWidth="1"/>
    <col min="7410" max="7414" width="0" style="9" hidden="1" customWidth="1"/>
    <col min="7415" max="7415" width="16.140625" style="9" customWidth="1"/>
    <col min="7416" max="7417" width="17.85546875" style="9" bestFit="1" customWidth="1"/>
    <col min="7418" max="7654" width="8.5703125" style="9"/>
    <col min="7655" max="7655" width="5.42578125" style="9" customWidth="1"/>
    <col min="7656" max="7656" width="50.85546875" style="9" customWidth="1"/>
    <col min="7657" max="7657" width="9.5703125" style="9" customWidth="1"/>
    <col min="7658" max="7659" width="11.85546875" style="9" customWidth="1"/>
    <col min="7660" max="7660" width="14.42578125" style="9" customWidth="1"/>
    <col min="7661" max="7661" width="16.140625" style="9" customWidth="1"/>
    <col min="7662" max="7663" width="17.85546875" style="9" bestFit="1" customWidth="1"/>
    <col min="7664" max="7664" width="19.140625" style="9" bestFit="1" customWidth="1"/>
    <col min="7665" max="7665" width="19.42578125" style="9" customWidth="1"/>
    <col min="7666" max="7670" width="0" style="9" hidden="1" customWidth="1"/>
    <col min="7671" max="7671" width="16.140625" style="9" customWidth="1"/>
    <col min="7672" max="7673" width="17.85546875" style="9" bestFit="1" customWidth="1"/>
    <col min="7674" max="7910" width="8.5703125" style="9"/>
    <col min="7911" max="7911" width="5.42578125" style="9" customWidth="1"/>
    <col min="7912" max="7912" width="50.85546875" style="9" customWidth="1"/>
    <col min="7913" max="7913" width="9.5703125" style="9" customWidth="1"/>
    <col min="7914" max="7915" width="11.85546875" style="9" customWidth="1"/>
    <col min="7916" max="7916" width="14.42578125" style="9" customWidth="1"/>
    <col min="7917" max="7917" width="16.140625" style="9" customWidth="1"/>
    <col min="7918" max="7919" width="17.85546875" style="9" bestFit="1" customWidth="1"/>
    <col min="7920" max="7920" width="19.140625" style="9" bestFit="1" customWidth="1"/>
    <col min="7921" max="7921" width="19.42578125" style="9" customWidth="1"/>
    <col min="7922" max="7926" width="0" style="9" hidden="1" customWidth="1"/>
    <col min="7927" max="7927" width="16.140625" style="9" customWidth="1"/>
    <col min="7928" max="7929" width="17.85546875" style="9" bestFit="1" customWidth="1"/>
    <col min="7930" max="8166" width="8.5703125" style="9"/>
    <col min="8167" max="8167" width="5.42578125" style="9" customWidth="1"/>
    <col min="8168" max="8168" width="50.85546875" style="9" customWidth="1"/>
    <col min="8169" max="8169" width="9.5703125" style="9" customWidth="1"/>
    <col min="8170" max="8171" width="11.85546875" style="9" customWidth="1"/>
    <col min="8172" max="8172" width="14.42578125" style="9" customWidth="1"/>
    <col min="8173" max="8173" width="16.140625" style="9" customWidth="1"/>
    <col min="8174" max="8175" width="17.85546875" style="9" bestFit="1" customWidth="1"/>
    <col min="8176" max="8176" width="19.140625" style="9" bestFit="1" customWidth="1"/>
    <col min="8177" max="8177" width="19.42578125" style="9" customWidth="1"/>
    <col min="8178" max="8182" width="0" style="9" hidden="1" customWidth="1"/>
    <col min="8183" max="8183" width="16.140625" style="9" customWidth="1"/>
    <col min="8184" max="8185" width="17.85546875" style="9" bestFit="1" customWidth="1"/>
    <col min="8186" max="8422" width="8.5703125" style="9"/>
    <col min="8423" max="8423" width="5.42578125" style="9" customWidth="1"/>
    <col min="8424" max="8424" width="50.85546875" style="9" customWidth="1"/>
    <col min="8425" max="8425" width="9.5703125" style="9" customWidth="1"/>
    <col min="8426" max="8427" width="11.85546875" style="9" customWidth="1"/>
    <col min="8428" max="8428" width="14.42578125" style="9" customWidth="1"/>
    <col min="8429" max="8429" width="16.140625" style="9" customWidth="1"/>
    <col min="8430" max="8431" width="17.85546875" style="9" bestFit="1" customWidth="1"/>
    <col min="8432" max="8432" width="19.140625" style="9" bestFit="1" customWidth="1"/>
    <col min="8433" max="8433" width="19.42578125" style="9" customWidth="1"/>
    <col min="8434" max="8438" width="0" style="9" hidden="1" customWidth="1"/>
    <col min="8439" max="8439" width="16.140625" style="9" customWidth="1"/>
    <col min="8440" max="8441" width="17.85546875" style="9" bestFit="1" customWidth="1"/>
    <col min="8442" max="8678" width="8.5703125" style="9"/>
    <col min="8679" max="8679" width="5.42578125" style="9" customWidth="1"/>
    <col min="8680" max="8680" width="50.85546875" style="9" customWidth="1"/>
    <col min="8681" max="8681" width="9.5703125" style="9" customWidth="1"/>
    <col min="8682" max="8683" width="11.85546875" style="9" customWidth="1"/>
    <col min="8684" max="8684" width="14.42578125" style="9" customWidth="1"/>
    <col min="8685" max="8685" width="16.140625" style="9" customWidth="1"/>
    <col min="8686" max="8687" width="17.85546875" style="9" bestFit="1" customWidth="1"/>
    <col min="8688" max="8688" width="19.140625" style="9" bestFit="1" customWidth="1"/>
    <col min="8689" max="8689" width="19.42578125" style="9" customWidth="1"/>
    <col min="8690" max="8694" width="0" style="9" hidden="1" customWidth="1"/>
    <col min="8695" max="8695" width="16.140625" style="9" customWidth="1"/>
    <col min="8696" max="8697" width="17.85546875" style="9" bestFit="1" customWidth="1"/>
    <col min="8698" max="8934" width="8.5703125" style="9"/>
    <col min="8935" max="8935" width="5.42578125" style="9" customWidth="1"/>
    <col min="8936" max="8936" width="50.85546875" style="9" customWidth="1"/>
    <col min="8937" max="8937" width="9.5703125" style="9" customWidth="1"/>
    <col min="8938" max="8939" width="11.85546875" style="9" customWidth="1"/>
    <col min="8940" max="8940" width="14.42578125" style="9" customWidth="1"/>
    <col min="8941" max="8941" width="16.140625" style="9" customWidth="1"/>
    <col min="8942" max="8943" width="17.85546875" style="9" bestFit="1" customWidth="1"/>
    <col min="8944" max="8944" width="19.140625" style="9" bestFit="1" customWidth="1"/>
    <col min="8945" max="8945" width="19.42578125" style="9" customWidth="1"/>
    <col min="8946" max="8950" width="0" style="9" hidden="1" customWidth="1"/>
    <col min="8951" max="8951" width="16.140625" style="9" customWidth="1"/>
    <col min="8952" max="8953" width="17.85546875" style="9" bestFit="1" customWidth="1"/>
    <col min="8954" max="9190" width="8.5703125" style="9"/>
    <col min="9191" max="9191" width="5.42578125" style="9" customWidth="1"/>
    <col min="9192" max="9192" width="50.85546875" style="9" customWidth="1"/>
    <col min="9193" max="9193" width="9.5703125" style="9" customWidth="1"/>
    <col min="9194" max="9195" width="11.85546875" style="9" customWidth="1"/>
    <col min="9196" max="9196" width="14.42578125" style="9" customWidth="1"/>
    <col min="9197" max="9197" width="16.140625" style="9" customWidth="1"/>
    <col min="9198" max="9199" width="17.85546875" style="9" bestFit="1" customWidth="1"/>
    <col min="9200" max="9200" width="19.140625" style="9" bestFit="1" customWidth="1"/>
    <col min="9201" max="9201" width="19.42578125" style="9" customWidth="1"/>
    <col min="9202" max="9206" width="0" style="9" hidden="1" customWidth="1"/>
    <col min="9207" max="9207" width="16.140625" style="9" customWidth="1"/>
    <col min="9208" max="9209" width="17.85546875" style="9" bestFit="1" customWidth="1"/>
    <col min="9210" max="9446" width="8.5703125" style="9"/>
    <col min="9447" max="9447" width="5.42578125" style="9" customWidth="1"/>
    <col min="9448" max="9448" width="50.85546875" style="9" customWidth="1"/>
    <col min="9449" max="9449" width="9.5703125" style="9" customWidth="1"/>
    <col min="9450" max="9451" width="11.85546875" style="9" customWidth="1"/>
    <col min="9452" max="9452" width="14.42578125" style="9" customWidth="1"/>
    <col min="9453" max="9453" width="16.140625" style="9" customWidth="1"/>
    <col min="9454" max="9455" width="17.85546875" style="9" bestFit="1" customWidth="1"/>
    <col min="9456" max="9456" width="19.140625" style="9" bestFit="1" customWidth="1"/>
    <col min="9457" max="9457" width="19.42578125" style="9" customWidth="1"/>
    <col min="9458" max="9462" width="0" style="9" hidden="1" customWidth="1"/>
    <col min="9463" max="9463" width="16.140625" style="9" customWidth="1"/>
    <col min="9464" max="9465" width="17.85546875" style="9" bestFit="1" customWidth="1"/>
    <col min="9466" max="9702" width="8.5703125" style="9"/>
    <col min="9703" max="9703" width="5.42578125" style="9" customWidth="1"/>
    <col min="9704" max="9704" width="50.85546875" style="9" customWidth="1"/>
    <col min="9705" max="9705" width="9.5703125" style="9" customWidth="1"/>
    <col min="9706" max="9707" width="11.85546875" style="9" customWidth="1"/>
    <col min="9708" max="9708" width="14.42578125" style="9" customWidth="1"/>
    <col min="9709" max="9709" width="16.140625" style="9" customWidth="1"/>
    <col min="9710" max="9711" width="17.85546875" style="9" bestFit="1" customWidth="1"/>
    <col min="9712" max="9712" width="19.140625" style="9" bestFit="1" customWidth="1"/>
    <col min="9713" max="9713" width="19.42578125" style="9" customWidth="1"/>
    <col min="9714" max="9718" width="0" style="9" hidden="1" customWidth="1"/>
    <col min="9719" max="9719" width="16.140625" style="9" customWidth="1"/>
    <col min="9720" max="9721" width="17.85546875" style="9" bestFit="1" customWidth="1"/>
    <col min="9722" max="9958" width="8.5703125" style="9"/>
    <col min="9959" max="9959" width="5.42578125" style="9" customWidth="1"/>
    <col min="9960" max="9960" width="50.85546875" style="9" customWidth="1"/>
    <col min="9961" max="9961" width="9.5703125" style="9" customWidth="1"/>
    <col min="9962" max="9963" width="11.85546875" style="9" customWidth="1"/>
    <col min="9964" max="9964" width="14.42578125" style="9" customWidth="1"/>
    <col min="9965" max="9965" width="16.140625" style="9" customWidth="1"/>
    <col min="9966" max="9967" width="17.85546875" style="9" bestFit="1" customWidth="1"/>
    <col min="9968" max="9968" width="19.140625" style="9" bestFit="1" customWidth="1"/>
    <col min="9969" max="9969" width="19.42578125" style="9" customWidth="1"/>
    <col min="9970" max="9974" width="0" style="9" hidden="1" customWidth="1"/>
    <col min="9975" max="9975" width="16.140625" style="9" customWidth="1"/>
    <col min="9976" max="9977" width="17.85546875" style="9" bestFit="1" customWidth="1"/>
    <col min="9978" max="10214" width="8.5703125" style="9"/>
    <col min="10215" max="10215" width="5.42578125" style="9" customWidth="1"/>
    <col min="10216" max="10216" width="50.85546875" style="9" customWidth="1"/>
    <col min="10217" max="10217" width="9.5703125" style="9" customWidth="1"/>
    <col min="10218" max="10219" width="11.85546875" style="9" customWidth="1"/>
    <col min="10220" max="10220" width="14.42578125" style="9" customWidth="1"/>
    <col min="10221" max="10221" width="16.140625" style="9" customWidth="1"/>
    <col min="10222" max="10223" width="17.85546875" style="9" bestFit="1" customWidth="1"/>
    <col min="10224" max="10224" width="19.140625" style="9" bestFit="1" customWidth="1"/>
    <col min="10225" max="10225" width="19.42578125" style="9" customWidth="1"/>
    <col min="10226" max="10230" width="0" style="9" hidden="1" customWidth="1"/>
    <col min="10231" max="10231" width="16.140625" style="9" customWidth="1"/>
    <col min="10232" max="10233" width="17.85546875" style="9" bestFit="1" customWidth="1"/>
    <col min="10234" max="10470" width="8.5703125" style="9"/>
    <col min="10471" max="10471" width="5.42578125" style="9" customWidth="1"/>
    <col min="10472" max="10472" width="50.85546875" style="9" customWidth="1"/>
    <col min="10473" max="10473" width="9.5703125" style="9" customWidth="1"/>
    <col min="10474" max="10475" width="11.85546875" style="9" customWidth="1"/>
    <col min="10476" max="10476" width="14.42578125" style="9" customWidth="1"/>
    <col min="10477" max="10477" width="16.140625" style="9" customWidth="1"/>
    <col min="10478" max="10479" width="17.85546875" style="9" bestFit="1" customWidth="1"/>
    <col min="10480" max="10480" width="19.140625" style="9" bestFit="1" customWidth="1"/>
    <col min="10481" max="10481" width="19.42578125" style="9" customWidth="1"/>
    <col min="10482" max="10486" width="0" style="9" hidden="1" customWidth="1"/>
    <col min="10487" max="10487" width="16.140625" style="9" customWidth="1"/>
    <col min="10488" max="10489" width="17.85546875" style="9" bestFit="1" customWidth="1"/>
    <col min="10490" max="10726" width="8.5703125" style="9"/>
    <col min="10727" max="10727" width="5.42578125" style="9" customWidth="1"/>
    <col min="10728" max="10728" width="50.85546875" style="9" customWidth="1"/>
    <col min="10729" max="10729" width="9.5703125" style="9" customWidth="1"/>
    <col min="10730" max="10731" width="11.85546875" style="9" customWidth="1"/>
    <col min="10732" max="10732" width="14.42578125" style="9" customWidth="1"/>
    <col min="10733" max="10733" width="16.140625" style="9" customWidth="1"/>
    <col min="10734" max="10735" width="17.85546875" style="9" bestFit="1" customWidth="1"/>
    <col min="10736" max="10736" width="19.140625" style="9" bestFit="1" customWidth="1"/>
    <col min="10737" max="10737" width="19.42578125" style="9" customWidth="1"/>
    <col min="10738" max="10742" width="0" style="9" hidden="1" customWidth="1"/>
    <col min="10743" max="10743" width="16.140625" style="9" customWidth="1"/>
    <col min="10744" max="10745" width="17.85546875" style="9" bestFit="1" customWidth="1"/>
    <col min="10746" max="10982" width="8.5703125" style="9"/>
    <col min="10983" max="10983" width="5.42578125" style="9" customWidth="1"/>
    <col min="10984" max="10984" width="50.85546875" style="9" customWidth="1"/>
    <col min="10985" max="10985" width="9.5703125" style="9" customWidth="1"/>
    <col min="10986" max="10987" width="11.85546875" style="9" customWidth="1"/>
    <col min="10988" max="10988" width="14.42578125" style="9" customWidth="1"/>
    <col min="10989" max="10989" width="16.140625" style="9" customWidth="1"/>
    <col min="10990" max="10991" width="17.85546875" style="9" bestFit="1" customWidth="1"/>
    <col min="10992" max="10992" width="19.140625" style="9" bestFit="1" customWidth="1"/>
    <col min="10993" max="10993" width="19.42578125" style="9" customWidth="1"/>
    <col min="10994" max="10998" width="0" style="9" hidden="1" customWidth="1"/>
    <col min="10999" max="10999" width="16.140625" style="9" customWidth="1"/>
    <col min="11000" max="11001" width="17.85546875" style="9" bestFit="1" customWidth="1"/>
    <col min="11002" max="11238" width="8.5703125" style="9"/>
    <col min="11239" max="11239" width="5.42578125" style="9" customWidth="1"/>
    <col min="11240" max="11240" width="50.85546875" style="9" customWidth="1"/>
    <col min="11241" max="11241" width="9.5703125" style="9" customWidth="1"/>
    <col min="11242" max="11243" width="11.85546875" style="9" customWidth="1"/>
    <col min="11244" max="11244" width="14.42578125" style="9" customWidth="1"/>
    <col min="11245" max="11245" width="16.140625" style="9" customWidth="1"/>
    <col min="11246" max="11247" width="17.85546875" style="9" bestFit="1" customWidth="1"/>
    <col min="11248" max="11248" width="19.140625" style="9" bestFit="1" customWidth="1"/>
    <col min="11249" max="11249" width="19.42578125" style="9" customWidth="1"/>
    <col min="11250" max="11254" width="0" style="9" hidden="1" customWidth="1"/>
    <col min="11255" max="11255" width="16.140625" style="9" customWidth="1"/>
    <col min="11256" max="11257" width="17.85546875" style="9" bestFit="1" customWidth="1"/>
    <col min="11258" max="11494" width="8.5703125" style="9"/>
    <col min="11495" max="11495" width="5.42578125" style="9" customWidth="1"/>
    <col min="11496" max="11496" width="50.85546875" style="9" customWidth="1"/>
    <col min="11497" max="11497" width="9.5703125" style="9" customWidth="1"/>
    <col min="11498" max="11499" width="11.85546875" style="9" customWidth="1"/>
    <col min="11500" max="11500" width="14.42578125" style="9" customWidth="1"/>
    <col min="11501" max="11501" width="16.140625" style="9" customWidth="1"/>
    <col min="11502" max="11503" width="17.85546875" style="9" bestFit="1" customWidth="1"/>
    <col min="11504" max="11504" width="19.140625" style="9" bestFit="1" customWidth="1"/>
    <col min="11505" max="11505" width="19.42578125" style="9" customWidth="1"/>
    <col min="11506" max="11510" width="0" style="9" hidden="1" customWidth="1"/>
    <col min="11511" max="11511" width="16.140625" style="9" customWidth="1"/>
    <col min="11512" max="11513" width="17.85546875" style="9" bestFit="1" customWidth="1"/>
    <col min="11514" max="11750" width="8.5703125" style="9"/>
    <col min="11751" max="11751" width="5.42578125" style="9" customWidth="1"/>
    <col min="11752" max="11752" width="50.85546875" style="9" customWidth="1"/>
    <col min="11753" max="11753" width="9.5703125" style="9" customWidth="1"/>
    <col min="11754" max="11755" width="11.85546875" style="9" customWidth="1"/>
    <col min="11756" max="11756" width="14.42578125" style="9" customWidth="1"/>
    <col min="11757" max="11757" width="16.140625" style="9" customWidth="1"/>
    <col min="11758" max="11759" width="17.85546875" style="9" bestFit="1" customWidth="1"/>
    <col min="11760" max="11760" width="19.140625" style="9" bestFit="1" customWidth="1"/>
    <col min="11761" max="11761" width="19.42578125" style="9" customWidth="1"/>
    <col min="11762" max="11766" width="0" style="9" hidden="1" customWidth="1"/>
    <col min="11767" max="11767" width="16.140625" style="9" customWidth="1"/>
    <col min="11768" max="11769" width="17.85546875" style="9" bestFit="1" customWidth="1"/>
    <col min="11770" max="12006" width="8.5703125" style="9"/>
    <col min="12007" max="12007" width="5.42578125" style="9" customWidth="1"/>
    <col min="12008" max="12008" width="50.85546875" style="9" customWidth="1"/>
    <col min="12009" max="12009" width="9.5703125" style="9" customWidth="1"/>
    <col min="12010" max="12011" width="11.85546875" style="9" customWidth="1"/>
    <col min="12012" max="12012" width="14.42578125" style="9" customWidth="1"/>
    <col min="12013" max="12013" width="16.140625" style="9" customWidth="1"/>
    <col min="12014" max="12015" width="17.85546875" style="9" bestFit="1" customWidth="1"/>
    <col min="12016" max="12016" width="19.140625" style="9" bestFit="1" customWidth="1"/>
    <col min="12017" max="12017" width="19.42578125" style="9" customWidth="1"/>
    <col min="12018" max="12022" width="0" style="9" hidden="1" customWidth="1"/>
    <col min="12023" max="12023" width="16.140625" style="9" customWidth="1"/>
    <col min="12024" max="12025" width="17.85546875" style="9" bestFit="1" customWidth="1"/>
    <col min="12026" max="12262" width="8.5703125" style="9"/>
    <col min="12263" max="12263" width="5.42578125" style="9" customWidth="1"/>
    <col min="12264" max="12264" width="50.85546875" style="9" customWidth="1"/>
    <col min="12265" max="12265" width="9.5703125" style="9" customWidth="1"/>
    <col min="12266" max="12267" width="11.85546875" style="9" customWidth="1"/>
    <col min="12268" max="12268" width="14.42578125" style="9" customWidth="1"/>
    <col min="12269" max="12269" width="16.140625" style="9" customWidth="1"/>
    <col min="12270" max="12271" width="17.85546875" style="9" bestFit="1" customWidth="1"/>
    <col min="12272" max="12272" width="19.140625" style="9" bestFit="1" customWidth="1"/>
    <col min="12273" max="12273" width="19.42578125" style="9" customWidth="1"/>
    <col min="12274" max="12278" width="0" style="9" hidden="1" customWidth="1"/>
    <col min="12279" max="12279" width="16.140625" style="9" customWidth="1"/>
    <col min="12280" max="12281" width="17.85546875" style="9" bestFit="1" customWidth="1"/>
    <col min="12282" max="12518" width="8.5703125" style="9"/>
    <col min="12519" max="12519" width="5.42578125" style="9" customWidth="1"/>
    <col min="12520" max="12520" width="50.85546875" style="9" customWidth="1"/>
    <col min="12521" max="12521" width="9.5703125" style="9" customWidth="1"/>
    <col min="12522" max="12523" width="11.85546875" style="9" customWidth="1"/>
    <col min="12524" max="12524" width="14.42578125" style="9" customWidth="1"/>
    <col min="12525" max="12525" width="16.140625" style="9" customWidth="1"/>
    <col min="12526" max="12527" width="17.85546875" style="9" bestFit="1" customWidth="1"/>
    <col min="12528" max="12528" width="19.140625" style="9" bestFit="1" customWidth="1"/>
    <col min="12529" max="12529" width="19.42578125" style="9" customWidth="1"/>
    <col min="12530" max="12534" width="0" style="9" hidden="1" customWidth="1"/>
    <col min="12535" max="12535" width="16.140625" style="9" customWidth="1"/>
    <col min="12536" max="12537" width="17.85546875" style="9" bestFit="1" customWidth="1"/>
    <col min="12538" max="12774" width="8.5703125" style="9"/>
    <col min="12775" max="12775" width="5.42578125" style="9" customWidth="1"/>
    <col min="12776" max="12776" width="50.85546875" style="9" customWidth="1"/>
    <col min="12777" max="12777" width="9.5703125" style="9" customWidth="1"/>
    <col min="12778" max="12779" width="11.85546875" style="9" customWidth="1"/>
    <col min="12780" max="12780" width="14.42578125" style="9" customWidth="1"/>
    <col min="12781" max="12781" width="16.140625" style="9" customWidth="1"/>
    <col min="12782" max="12783" width="17.85546875" style="9" bestFit="1" customWidth="1"/>
    <col min="12784" max="12784" width="19.140625" style="9" bestFit="1" customWidth="1"/>
    <col min="12785" max="12785" width="19.42578125" style="9" customWidth="1"/>
    <col min="12786" max="12790" width="0" style="9" hidden="1" customWidth="1"/>
    <col min="12791" max="12791" width="16.140625" style="9" customWidth="1"/>
    <col min="12792" max="12793" width="17.85546875" style="9" bestFit="1" customWidth="1"/>
    <col min="12794" max="13030" width="8.5703125" style="9"/>
    <col min="13031" max="13031" width="5.42578125" style="9" customWidth="1"/>
    <col min="13032" max="13032" width="50.85546875" style="9" customWidth="1"/>
    <col min="13033" max="13033" width="9.5703125" style="9" customWidth="1"/>
    <col min="13034" max="13035" width="11.85546875" style="9" customWidth="1"/>
    <col min="13036" max="13036" width="14.42578125" style="9" customWidth="1"/>
    <col min="13037" max="13037" width="16.140625" style="9" customWidth="1"/>
    <col min="13038" max="13039" width="17.85546875" style="9" bestFit="1" customWidth="1"/>
    <col min="13040" max="13040" width="19.140625" style="9" bestFit="1" customWidth="1"/>
    <col min="13041" max="13041" width="19.42578125" style="9" customWidth="1"/>
    <col min="13042" max="13046" width="0" style="9" hidden="1" customWidth="1"/>
    <col min="13047" max="13047" width="16.140625" style="9" customWidth="1"/>
    <col min="13048" max="13049" width="17.85546875" style="9" bestFit="1" customWidth="1"/>
    <col min="13050" max="13286" width="8.5703125" style="9"/>
    <col min="13287" max="13287" width="5.42578125" style="9" customWidth="1"/>
    <col min="13288" max="13288" width="50.85546875" style="9" customWidth="1"/>
    <col min="13289" max="13289" width="9.5703125" style="9" customWidth="1"/>
    <col min="13290" max="13291" width="11.85546875" style="9" customWidth="1"/>
    <col min="13292" max="13292" width="14.42578125" style="9" customWidth="1"/>
    <col min="13293" max="13293" width="16.140625" style="9" customWidth="1"/>
    <col min="13294" max="13295" width="17.85546875" style="9" bestFit="1" customWidth="1"/>
    <col min="13296" max="13296" width="19.140625" style="9" bestFit="1" customWidth="1"/>
    <col min="13297" max="13297" width="19.42578125" style="9" customWidth="1"/>
    <col min="13298" max="13302" width="0" style="9" hidden="1" customWidth="1"/>
    <col min="13303" max="13303" width="16.140625" style="9" customWidth="1"/>
    <col min="13304" max="13305" width="17.85546875" style="9" bestFit="1" customWidth="1"/>
    <col min="13306" max="13542" width="8.5703125" style="9"/>
    <col min="13543" max="13543" width="5.42578125" style="9" customWidth="1"/>
    <col min="13544" max="13544" width="50.85546875" style="9" customWidth="1"/>
    <col min="13545" max="13545" width="9.5703125" style="9" customWidth="1"/>
    <col min="13546" max="13547" width="11.85546875" style="9" customWidth="1"/>
    <col min="13548" max="13548" width="14.42578125" style="9" customWidth="1"/>
    <col min="13549" max="13549" width="16.140625" style="9" customWidth="1"/>
    <col min="13550" max="13551" width="17.85546875" style="9" bestFit="1" customWidth="1"/>
    <col min="13552" max="13552" width="19.140625" style="9" bestFit="1" customWidth="1"/>
    <col min="13553" max="13553" width="19.42578125" style="9" customWidth="1"/>
    <col min="13554" max="13558" width="0" style="9" hidden="1" customWidth="1"/>
    <col min="13559" max="13559" width="16.140625" style="9" customWidth="1"/>
    <col min="13560" max="13561" width="17.85546875" style="9" bestFit="1" customWidth="1"/>
    <col min="13562" max="13798" width="8.5703125" style="9"/>
    <col min="13799" max="13799" width="5.42578125" style="9" customWidth="1"/>
    <col min="13800" max="13800" width="50.85546875" style="9" customWidth="1"/>
    <col min="13801" max="13801" width="9.5703125" style="9" customWidth="1"/>
    <col min="13802" max="13803" width="11.85546875" style="9" customWidth="1"/>
    <col min="13804" max="13804" width="14.42578125" style="9" customWidth="1"/>
    <col min="13805" max="13805" width="16.140625" style="9" customWidth="1"/>
    <col min="13806" max="13807" width="17.85546875" style="9" bestFit="1" customWidth="1"/>
    <col min="13808" max="13808" width="19.140625" style="9" bestFit="1" customWidth="1"/>
    <col min="13809" max="13809" width="19.42578125" style="9" customWidth="1"/>
    <col min="13810" max="13814" width="0" style="9" hidden="1" customWidth="1"/>
    <col min="13815" max="13815" width="16.140625" style="9" customWidth="1"/>
    <col min="13816" max="13817" width="17.85546875" style="9" bestFit="1" customWidth="1"/>
    <col min="13818" max="14054" width="8.5703125" style="9"/>
    <col min="14055" max="14055" width="5.42578125" style="9" customWidth="1"/>
    <col min="14056" max="14056" width="50.85546875" style="9" customWidth="1"/>
    <col min="14057" max="14057" width="9.5703125" style="9" customWidth="1"/>
    <col min="14058" max="14059" width="11.85546875" style="9" customWidth="1"/>
    <col min="14060" max="14060" width="14.42578125" style="9" customWidth="1"/>
    <col min="14061" max="14061" width="16.140625" style="9" customWidth="1"/>
    <col min="14062" max="14063" width="17.85546875" style="9" bestFit="1" customWidth="1"/>
    <col min="14064" max="14064" width="19.140625" style="9" bestFit="1" customWidth="1"/>
    <col min="14065" max="14065" width="19.42578125" style="9" customWidth="1"/>
    <col min="14066" max="14070" width="0" style="9" hidden="1" customWidth="1"/>
    <col min="14071" max="14071" width="16.140625" style="9" customWidth="1"/>
    <col min="14072" max="14073" width="17.85546875" style="9" bestFit="1" customWidth="1"/>
    <col min="14074" max="14310" width="8.5703125" style="9"/>
    <col min="14311" max="14311" width="5.42578125" style="9" customWidth="1"/>
    <col min="14312" max="14312" width="50.85546875" style="9" customWidth="1"/>
    <col min="14313" max="14313" width="9.5703125" style="9" customWidth="1"/>
    <col min="14314" max="14315" width="11.85546875" style="9" customWidth="1"/>
    <col min="14316" max="14316" width="14.42578125" style="9" customWidth="1"/>
    <col min="14317" max="14317" width="16.140625" style="9" customWidth="1"/>
    <col min="14318" max="14319" width="17.85546875" style="9" bestFit="1" customWidth="1"/>
    <col min="14320" max="14320" width="19.140625" style="9" bestFit="1" customWidth="1"/>
    <col min="14321" max="14321" width="19.42578125" style="9" customWidth="1"/>
    <col min="14322" max="14326" width="0" style="9" hidden="1" customWidth="1"/>
    <col min="14327" max="14327" width="16.140625" style="9" customWidth="1"/>
    <col min="14328" max="14329" width="17.85546875" style="9" bestFit="1" customWidth="1"/>
    <col min="14330" max="14566" width="8.5703125" style="9"/>
    <col min="14567" max="14567" width="5.42578125" style="9" customWidth="1"/>
    <col min="14568" max="14568" width="50.85546875" style="9" customWidth="1"/>
    <col min="14569" max="14569" width="9.5703125" style="9" customWidth="1"/>
    <col min="14570" max="14571" width="11.85546875" style="9" customWidth="1"/>
    <col min="14572" max="14572" width="14.42578125" style="9" customWidth="1"/>
    <col min="14573" max="14573" width="16.140625" style="9" customWidth="1"/>
    <col min="14574" max="14575" width="17.85546875" style="9" bestFit="1" customWidth="1"/>
    <col min="14576" max="14576" width="19.140625" style="9" bestFit="1" customWidth="1"/>
    <col min="14577" max="14577" width="19.42578125" style="9" customWidth="1"/>
    <col min="14578" max="14582" width="0" style="9" hidden="1" customWidth="1"/>
    <col min="14583" max="14583" width="16.140625" style="9" customWidth="1"/>
    <col min="14584" max="14585" width="17.85546875" style="9" bestFit="1" customWidth="1"/>
    <col min="14586" max="14822" width="8.5703125" style="9"/>
    <col min="14823" max="14823" width="5.42578125" style="9" customWidth="1"/>
    <col min="14824" max="14824" width="50.85546875" style="9" customWidth="1"/>
    <col min="14825" max="14825" width="9.5703125" style="9" customWidth="1"/>
    <col min="14826" max="14827" width="11.85546875" style="9" customWidth="1"/>
    <col min="14828" max="14828" width="14.42578125" style="9" customWidth="1"/>
    <col min="14829" max="14829" width="16.140625" style="9" customWidth="1"/>
    <col min="14830" max="14831" width="17.85546875" style="9" bestFit="1" customWidth="1"/>
    <col min="14832" max="14832" width="19.140625" style="9" bestFit="1" customWidth="1"/>
    <col min="14833" max="14833" width="19.42578125" style="9" customWidth="1"/>
    <col min="14834" max="14838" width="0" style="9" hidden="1" customWidth="1"/>
    <col min="14839" max="14839" width="16.140625" style="9" customWidth="1"/>
    <col min="14840" max="14841" width="17.85546875" style="9" bestFit="1" customWidth="1"/>
    <col min="14842" max="15078" width="8.5703125" style="9"/>
    <col min="15079" max="15079" width="5.42578125" style="9" customWidth="1"/>
    <col min="15080" max="15080" width="50.85546875" style="9" customWidth="1"/>
    <col min="15081" max="15081" width="9.5703125" style="9" customWidth="1"/>
    <col min="15082" max="15083" width="11.85546875" style="9" customWidth="1"/>
    <col min="15084" max="15084" width="14.42578125" style="9" customWidth="1"/>
    <col min="15085" max="15085" width="16.140625" style="9" customWidth="1"/>
    <col min="15086" max="15087" width="17.85546875" style="9" bestFit="1" customWidth="1"/>
    <col min="15088" max="15088" width="19.140625" style="9" bestFit="1" customWidth="1"/>
    <col min="15089" max="15089" width="19.42578125" style="9" customWidth="1"/>
    <col min="15090" max="15094" width="0" style="9" hidden="1" customWidth="1"/>
    <col min="15095" max="15095" width="16.140625" style="9" customWidth="1"/>
    <col min="15096" max="15097" width="17.85546875" style="9" bestFit="1" customWidth="1"/>
    <col min="15098" max="15334" width="8.5703125" style="9"/>
    <col min="15335" max="15335" width="5.42578125" style="9" customWidth="1"/>
    <col min="15336" max="15336" width="50.85546875" style="9" customWidth="1"/>
    <col min="15337" max="15337" width="9.5703125" style="9" customWidth="1"/>
    <col min="15338" max="15339" width="11.85546875" style="9" customWidth="1"/>
    <col min="15340" max="15340" width="14.42578125" style="9" customWidth="1"/>
    <col min="15341" max="15341" width="16.140625" style="9" customWidth="1"/>
    <col min="15342" max="15343" width="17.85546875" style="9" bestFit="1" customWidth="1"/>
    <col min="15344" max="15344" width="19.140625" style="9" bestFit="1" customWidth="1"/>
    <col min="15345" max="15345" width="19.42578125" style="9" customWidth="1"/>
    <col min="15346" max="15350" width="0" style="9" hidden="1" customWidth="1"/>
    <col min="15351" max="15351" width="16.140625" style="9" customWidth="1"/>
    <col min="15352" max="15353" width="17.85546875" style="9" bestFit="1" customWidth="1"/>
    <col min="15354" max="15590" width="8.5703125" style="9"/>
    <col min="15591" max="15591" width="5.42578125" style="9" customWidth="1"/>
    <col min="15592" max="15592" width="50.85546875" style="9" customWidth="1"/>
    <col min="15593" max="15593" width="9.5703125" style="9" customWidth="1"/>
    <col min="15594" max="15595" width="11.85546875" style="9" customWidth="1"/>
    <col min="15596" max="15596" width="14.42578125" style="9" customWidth="1"/>
    <col min="15597" max="15597" width="16.140625" style="9" customWidth="1"/>
    <col min="15598" max="15599" width="17.85546875" style="9" bestFit="1" customWidth="1"/>
    <col min="15600" max="15600" width="19.140625" style="9" bestFit="1" customWidth="1"/>
    <col min="15601" max="15601" width="19.42578125" style="9" customWidth="1"/>
    <col min="15602" max="15606" width="0" style="9" hidden="1" customWidth="1"/>
    <col min="15607" max="15607" width="16.140625" style="9" customWidth="1"/>
    <col min="15608" max="15609" width="17.85546875" style="9" bestFit="1" customWidth="1"/>
    <col min="15610" max="15846" width="8.5703125" style="9"/>
    <col min="15847" max="15847" width="5.42578125" style="9" customWidth="1"/>
    <col min="15848" max="15848" width="50.85546875" style="9" customWidth="1"/>
    <col min="15849" max="15849" width="9.5703125" style="9" customWidth="1"/>
    <col min="15850" max="15851" width="11.85546875" style="9" customWidth="1"/>
    <col min="15852" max="15852" width="14.42578125" style="9" customWidth="1"/>
    <col min="15853" max="15853" width="16.140625" style="9" customWidth="1"/>
    <col min="15854" max="15855" width="17.85546875" style="9" bestFit="1" customWidth="1"/>
    <col min="15856" max="15856" width="19.140625" style="9" bestFit="1" customWidth="1"/>
    <col min="15857" max="15857" width="19.42578125" style="9" customWidth="1"/>
    <col min="15858" max="15862" width="0" style="9" hidden="1" customWidth="1"/>
    <col min="15863" max="15863" width="16.140625" style="9" customWidth="1"/>
    <col min="15864" max="15865" width="17.85546875" style="9" bestFit="1" customWidth="1"/>
    <col min="15866" max="16102" width="8.5703125" style="9"/>
    <col min="16103" max="16103" width="5.42578125" style="9" customWidth="1"/>
    <col min="16104" max="16104" width="50.85546875" style="9" customWidth="1"/>
    <col min="16105" max="16105" width="9.5703125" style="9" customWidth="1"/>
    <col min="16106" max="16107" width="11.85546875" style="9" customWidth="1"/>
    <col min="16108" max="16108" width="14.42578125" style="9" customWidth="1"/>
    <col min="16109" max="16109" width="16.140625" style="9" customWidth="1"/>
    <col min="16110" max="16111" width="17.85546875" style="9" bestFit="1" customWidth="1"/>
    <col min="16112" max="16112" width="19.140625" style="9" bestFit="1" customWidth="1"/>
    <col min="16113" max="16113" width="19.42578125" style="9" customWidth="1"/>
    <col min="16114" max="16118" width="0" style="9" hidden="1" customWidth="1"/>
    <col min="16119" max="16119" width="16.140625" style="9" customWidth="1"/>
    <col min="16120" max="16121" width="17.85546875" style="9" bestFit="1" customWidth="1"/>
    <col min="16122" max="16384" width="8.5703125" style="9"/>
  </cols>
  <sheetData>
    <row r="1" spans="1:217" ht="20.25">
      <c r="A1" s="167" t="s">
        <v>15</v>
      </c>
      <c r="B1" s="167"/>
      <c r="C1" s="167"/>
      <c r="D1" s="167"/>
      <c r="E1" s="167"/>
      <c r="F1" s="167"/>
      <c r="G1" s="167"/>
      <c r="H1" s="167"/>
      <c r="I1" s="167"/>
      <c r="J1" s="167"/>
      <c r="K1" s="167"/>
      <c r="L1" s="167"/>
      <c r="M1" s="167"/>
      <c r="N1" s="167"/>
      <c r="O1" s="167"/>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row>
    <row r="2" spans="1:217" ht="14.25">
      <c r="A2" s="168" t="s">
        <v>16</v>
      </c>
      <c r="B2" s="168"/>
      <c r="C2" s="168"/>
      <c r="D2" s="168"/>
      <c r="E2" s="168"/>
      <c r="F2" s="168"/>
      <c r="G2" s="168"/>
      <c r="H2" s="168"/>
      <c r="I2" s="168"/>
      <c r="J2" s="168"/>
      <c r="K2" s="168"/>
      <c r="L2" s="168"/>
      <c r="M2" s="168"/>
      <c r="N2" s="168"/>
      <c r="O2" s="168"/>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row>
    <row r="3" spans="1:217" ht="14.25">
      <c r="A3" s="168" t="s">
        <v>17</v>
      </c>
      <c r="B3" s="168"/>
      <c r="C3" s="168"/>
      <c r="D3" s="168"/>
      <c r="E3" s="168"/>
      <c r="F3" s="168"/>
      <c r="G3" s="168"/>
      <c r="H3" s="168"/>
      <c r="I3" s="168"/>
      <c r="J3" s="168"/>
      <c r="K3" s="168"/>
      <c r="L3" s="168"/>
      <c r="M3" s="168"/>
      <c r="N3" s="168"/>
      <c r="O3" s="168"/>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row>
    <row r="4" spans="1:217" ht="21" customHeight="1">
      <c r="A4" s="11"/>
      <c r="B4" s="11"/>
      <c r="C4" s="11"/>
      <c r="D4" s="133"/>
      <c r="E4" s="11"/>
      <c r="F4" s="11"/>
      <c r="G4" s="11"/>
      <c r="H4" s="11"/>
      <c r="I4" s="11"/>
      <c r="J4" s="11"/>
      <c r="K4" s="11"/>
      <c r="L4" s="11"/>
      <c r="M4" s="11"/>
      <c r="N4" s="11"/>
      <c r="O4" s="11"/>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row>
    <row r="5" spans="1:217" s="18" customFormat="1" hidden="1">
      <c r="A5" s="13" t="s">
        <v>57</v>
      </c>
      <c r="B5" s="14" t="s">
        <v>58</v>
      </c>
      <c r="C5" s="19"/>
      <c r="D5" s="134"/>
      <c r="E5" s="19"/>
      <c r="F5" s="19"/>
      <c r="G5" s="19"/>
      <c r="H5" s="19"/>
      <c r="I5" s="19"/>
      <c r="J5" s="19"/>
      <c r="K5" s="19"/>
      <c r="L5" s="19"/>
      <c r="M5" s="19"/>
      <c r="N5" s="19"/>
      <c r="O5" s="16"/>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c r="FP5" s="21"/>
      <c r="FQ5" s="21"/>
      <c r="FR5" s="21"/>
      <c r="FS5" s="21"/>
      <c r="FT5" s="21"/>
      <c r="FU5" s="21"/>
      <c r="FV5" s="21"/>
      <c r="FW5" s="21"/>
      <c r="FX5" s="21"/>
      <c r="FY5" s="21"/>
      <c r="FZ5" s="21"/>
      <c r="GA5" s="21"/>
      <c r="GB5" s="21"/>
      <c r="GC5" s="21"/>
      <c r="GD5" s="21"/>
      <c r="GE5" s="21"/>
      <c r="GF5" s="21"/>
      <c r="GG5" s="21"/>
      <c r="GH5" s="21"/>
      <c r="GI5" s="21"/>
      <c r="GJ5" s="21"/>
      <c r="GK5" s="21"/>
      <c r="GL5" s="21"/>
      <c r="GM5" s="21"/>
      <c r="GN5" s="21"/>
      <c r="GO5" s="21"/>
      <c r="GP5" s="21"/>
      <c r="GQ5" s="21"/>
      <c r="GR5" s="21"/>
      <c r="GS5" s="21"/>
      <c r="GT5" s="21"/>
      <c r="GU5" s="21"/>
      <c r="GV5" s="21"/>
      <c r="GW5" s="21"/>
      <c r="GX5" s="21"/>
      <c r="GY5" s="21"/>
      <c r="GZ5" s="21"/>
      <c r="HA5" s="21"/>
      <c r="HB5" s="21"/>
      <c r="HC5" s="21"/>
      <c r="HD5" s="21"/>
      <c r="HE5" s="21"/>
      <c r="HF5" s="21"/>
      <c r="HG5" s="21"/>
      <c r="HH5" s="21"/>
      <c r="HI5" s="21"/>
    </row>
    <row r="6" spans="1:217" s="18" customFormat="1" hidden="1">
      <c r="A6" s="23"/>
      <c r="B6" s="22" t="s">
        <v>59</v>
      </c>
      <c r="C6" s="19"/>
      <c r="D6" s="134"/>
      <c r="E6" s="19"/>
      <c r="F6" s="19"/>
      <c r="G6" s="19"/>
      <c r="H6" s="19"/>
      <c r="I6" s="19"/>
      <c r="J6" s="19"/>
      <c r="K6" s="19"/>
      <c r="L6" s="19"/>
      <c r="M6" s="19"/>
      <c r="N6" s="19"/>
      <c r="O6" s="20"/>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21"/>
      <c r="FH6" s="21"/>
      <c r="FI6" s="21"/>
      <c r="FJ6" s="21"/>
      <c r="FK6" s="21"/>
      <c r="FL6" s="21"/>
      <c r="FM6" s="21"/>
      <c r="FN6" s="21"/>
      <c r="FO6" s="21"/>
      <c r="FP6" s="21"/>
      <c r="FQ6" s="21"/>
      <c r="FR6" s="21"/>
      <c r="FS6" s="21"/>
      <c r="FT6" s="21"/>
      <c r="FU6" s="21"/>
      <c r="FV6" s="21"/>
      <c r="FW6" s="21"/>
      <c r="FX6" s="21"/>
      <c r="FY6" s="21"/>
      <c r="FZ6" s="21"/>
      <c r="GA6" s="21"/>
      <c r="GB6" s="21"/>
      <c r="GC6" s="21"/>
      <c r="GD6" s="21"/>
      <c r="GE6" s="21"/>
      <c r="GF6" s="21"/>
      <c r="GG6" s="21"/>
      <c r="GH6" s="21"/>
      <c r="GI6" s="21"/>
      <c r="GJ6" s="21"/>
      <c r="GK6" s="21"/>
      <c r="GL6" s="21"/>
      <c r="GM6" s="21"/>
      <c r="GN6" s="21"/>
      <c r="GO6" s="21"/>
      <c r="GP6" s="21"/>
      <c r="GQ6" s="21"/>
      <c r="GR6" s="21"/>
      <c r="GS6" s="21"/>
      <c r="GT6" s="21"/>
      <c r="GU6" s="21"/>
      <c r="GV6" s="21"/>
      <c r="GW6" s="21"/>
      <c r="GX6" s="21"/>
      <c r="GY6" s="21"/>
      <c r="GZ6" s="21"/>
      <c r="HA6" s="21"/>
      <c r="HB6" s="21"/>
      <c r="HC6" s="21"/>
      <c r="HD6" s="21"/>
      <c r="HE6" s="21"/>
      <c r="HF6" s="21"/>
      <c r="HG6" s="21"/>
      <c r="HH6" s="21"/>
      <c r="HI6" s="21"/>
    </row>
    <row r="7" spans="1:217" s="18" customFormat="1" ht="78.75" hidden="1">
      <c r="A7" s="23">
        <v>1</v>
      </c>
      <c r="B7" s="24" t="s">
        <v>60</v>
      </c>
      <c r="C7" s="19" t="s">
        <v>61</v>
      </c>
      <c r="D7" s="134"/>
      <c r="E7" s="19"/>
      <c r="F7" s="19"/>
      <c r="G7" s="19"/>
      <c r="H7" s="19"/>
      <c r="I7" s="19"/>
      <c r="J7" s="19"/>
      <c r="K7" s="19"/>
      <c r="L7" s="19"/>
      <c r="M7" s="19"/>
      <c r="N7" s="19"/>
      <c r="O7" s="20"/>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row>
    <row r="8" spans="1:217" s="18" customFormat="1" ht="31.5" hidden="1">
      <c r="A8" s="23">
        <v>2</v>
      </c>
      <c r="B8" s="24" t="s">
        <v>62</v>
      </c>
      <c r="C8" s="19" t="s">
        <v>61</v>
      </c>
      <c r="D8" s="134"/>
      <c r="E8" s="19"/>
      <c r="F8" s="19"/>
      <c r="G8" s="19"/>
      <c r="H8" s="19"/>
      <c r="I8" s="19"/>
      <c r="J8" s="19"/>
      <c r="K8" s="19"/>
      <c r="L8" s="19"/>
      <c r="M8" s="19"/>
      <c r="N8" s="19"/>
      <c r="O8" s="20"/>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row>
    <row r="9" spans="1:217" s="18" customFormat="1" hidden="1">
      <c r="A9" s="23"/>
      <c r="B9" s="22" t="s">
        <v>63</v>
      </c>
      <c r="C9" s="19"/>
      <c r="D9" s="134"/>
      <c r="E9" s="19"/>
      <c r="F9" s="19"/>
      <c r="G9" s="19"/>
      <c r="H9" s="19"/>
      <c r="I9" s="19"/>
      <c r="J9" s="19"/>
      <c r="K9" s="19"/>
      <c r="L9" s="19"/>
      <c r="M9" s="19"/>
      <c r="N9" s="19"/>
      <c r="O9" s="20"/>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c r="FZ9" s="21"/>
      <c r="GA9" s="21"/>
      <c r="GB9" s="21"/>
      <c r="GC9" s="21"/>
      <c r="GD9" s="21"/>
      <c r="GE9" s="21"/>
      <c r="GF9" s="21"/>
      <c r="GG9" s="21"/>
      <c r="GH9" s="21"/>
      <c r="GI9" s="21"/>
      <c r="GJ9" s="21"/>
      <c r="GK9" s="21"/>
      <c r="GL9" s="21"/>
      <c r="GM9" s="21"/>
      <c r="GN9" s="21"/>
      <c r="GO9" s="21"/>
      <c r="GP9" s="21"/>
      <c r="GQ9" s="21"/>
      <c r="GR9" s="21"/>
      <c r="GS9" s="21"/>
      <c r="GT9" s="21"/>
      <c r="GU9" s="21"/>
      <c r="GV9" s="21"/>
      <c r="GW9" s="21"/>
      <c r="GX9" s="21"/>
      <c r="GY9" s="21"/>
      <c r="GZ9" s="21"/>
      <c r="HA9" s="21"/>
      <c r="HB9" s="21"/>
      <c r="HC9" s="21"/>
      <c r="HD9" s="21"/>
      <c r="HE9" s="21"/>
      <c r="HF9" s="21"/>
      <c r="HG9" s="21"/>
      <c r="HH9" s="21"/>
      <c r="HI9" s="21"/>
    </row>
    <row r="10" spans="1:217" s="18" customFormat="1" ht="31.5" hidden="1">
      <c r="A10" s="23">
        <v>1</v>
      </c>
      <c r="B10" s="24" t="s">
        <v>64</v>
      </c>
      <c r="C10" s="19" t="s">
        <v>61</v>
      </c>
      <c r="D10" s="134"/>
      <c r="E10" s="19"/>
      <c r="F10" s="19"/>
      <c r="G10" s="19"/>
      <c r="H10" s="19"/>
      <c r="I10" s="19"/>
      <c r="J10" s="19"/>
      <c r="K10" s="19"/>
      <c r="L10" s="19"/>
      <c r="M10" s="19"/>
      <c r="N10" s="19"/>
      <c r="O10" s="20"/>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row>
    <row r="11" spans="1:217" s="18" customFormat="1" hidden="1">
      <c r="A11" s="23"/>
      <c r="B11" s="22" t="s">
        <v>65</v>
      </c>
      <c r="C11" s="19"/>
      <c r="D11" s="134"/>
      <c r="E11" s="19"/>
      <c r="F11" s="19"/>
      <c r="G11" s="19"/>
      <c r="H11" s="19"/>
      <c r="I11" s="19"/>
      <c r="J11" s="19"/>
      <c r="K11" s="19"/>
      <c r="L11" s="19"/>
      <c r="M11" s="19"/>
      <c r="N11" s="19"/>
      <c r="O11" s="20"/>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row>
    <row r="12" spans="1:217" s="18" customFormat="1" ht="31.5" hidden="1">
      <c r="A12" s="23">
        <v>1</v>
      </c>
      <c r="B12" s="24" t="s">
        <v>112</v>
      </c>
      <c r="C12" s="19" t="s">
        <v>61</v>
      </c>
      <c r="D12" s="134"/>
      <c r="E12" s="19"/>
      <c r="F12" s="19"/>
      <c r="G12" s="19"/>
      <c r="H12" s="19"/>
      <c r="I12" s="19"/>
      <c r="J12" s="19"/>
      <c r="K12" s="19"/>
      <c r="L12" s="19"/>
      <c r="M12" s="19"/>
      <c r="N12" s="19"/>
      <c r="O12" s="20"/>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c r="FI12" s="21"/>
      <c r="FJ12" s="21"/>
      <c r="FK12" s="21"/>
      <c r="FL12" s="21"/>
      <c r="FM12" s="21"/>
      <c r="FN12" s="21"/>
      <c r="FO12" s="21"/>
      <c r="FP12" s="21"/>
      <c r="FQ12" s="21"/>
      <c r="FR12" s="21"/>
      <c r="FS12" s="21"/>
      <c r="FT12" s="21"/>
      <c r="FU12" s="21"/>
      <c r="FV12" s="21"/>
      <c r="FW12" s="21"/>
      <c r="FX12" s="21"/>
      <c r="FY12" s="21"/>
      <c r="FZ12" s="21"/>
      <c r="GA12" s="21"/>
      <c r="GB12" s="21"/>
      <c r="GC12" s="21"/>
      <c r="GD12" s="21"/>
      <c r="GE12" s="21"/>
      <c r="GF12" s="21"/>
      <c r="GG12" s="21"/>
      <c r="GH12" s="21"/>
      <c r="GI12" s="21"/>
      <c r="GJ12" s="21"/>
      <c r="GK12" s="21"/>
      <c r="GL12" s="21"/>
      <c r="GM12" s="21"/>
      <c r="GN12" s="21"/>
      <c r="GO12" s="21"/>
      <c r="GP12" s="21"/>
      <c r="GQ12" s="21"/>
      <c r="GR12" s="21"/>
      <c r="GS12" s="21"/>
      <c r="GT12" s="21"/>
      <c r="GU12" s="21"/>
      <c r="GV12" s="21"/>
      <c r="GW12" s="21"/>
      <c r="GX12" s="21"/>
      <c r="GY12" s="21"/>
      <c r="GZ12" s="21"/>
      <c r="HA12" s="21"/>
      <c r="HB12" s="21"/>
      <c r="HC12" s="21"/>
      <c r="HD12" s="21"/>
      <c r="HE12" s="21"/>
      <c r="HF12" s="21"/>
      <c r="HG12" s="21"/>
      <c r="HH12" s="21"/>
      <c r="HI12" s="21"/>
    </row>
    <row r="13" spans="1:217" s="18" customFormat="1" ht="31.5" hidden="1">
      <c r="A13" s="23">
        <v>2</v>
      </c>
      <c r="B13" s="24" t="s">
        <v>113</v>
      </c>
      <c r="C13" s="19" t="s">
        <v>61</v>
      </c>
      <c r="D13" s="134"/>
      <c r="E13" s="19"/>
      <c r="F13" s="19"/>
      <c r="G13" s="19"/>
      <c r="H13" s="19"/>
      <c r="I13" s="19"/>
      <c r="J13" s="19"/>
      <c r="K13" s="19"/>
      <c r="L13" s="19"/>
      <c r="M13" s="19"/>
      <c r="N13" s="19"/>
      <c r="O13" s="20"/>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row>
    <row r="14" spans="1:217" s="18" customFormat="1" ht="31.5" hidden="1">
      <c r="A14" s="23">
        <v>3</v>
      </c>
      <c r="B14" s="24" t="s">
        <v>114</v>
      </c>
      <c r="C14" s="19" t="s">
        <v>61</v>
      </c>
      <c r="D14" s="134"/>
      <c r="E14" s="19"/>
      <c r="F14" s="19"/>
      <c r="G14" s="19"/>
      <c r="H14" s="19"/>
      <c r="I14" s="19"/>
      <c r="J14" s="19"/>
      <c r="K14" s="19"/>
      <c r="L14" s="19"/>
      <c r="M14" s="19"/>
      <c r="N14" s="19"/>
      <c r="O14" s="20"/>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21"/>
      <c r="HH14" s="21"/>
      <c r="HI14" s="21"/>
    </row>
    <row r="15" spans="1:217" s="18" customFormat="1" ht="31.5" hidden="1">
      <c r="A15" s="23">
        <v>5</v>
      </c>
      <c r="B15" s="24" t="s">
        <v>115</v>
      </c>
      <c r="C15" s="19" t="s">
        <v>61</v>
      </c>
      <c r="D15" s="134"/>
      <c r="E15" s="19"/>
      <c r="F15" s="19"/>
      <c r="G15" s="19"/>
      <c r="H15" s="19"/>
      <c r="I15" s="19"/>
      <c r="J15" s="19"/>
      <c r="K15" s="19"/>
      <c r="L15" s="19"/>
      <c r="M15" s="19"/>
      <c r="N15" s="19"/>
      <c r="O15" s="20"/>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row>
    <row r="16" spans="1:217" s="18" customFormat="1" ht="31.5" hidden="1">
      <c r="A16" s="23">
        <v>6</v>
      </c>
      <c r="B16" s="24" t="s">
        <v>116</v>
      </c>
      <c r="C16" s="19" t="s">
        <v>61</v>
      </c>
      <c r="D16" s="134"/>
      <c r="E16" s="19"/>
      <c r="F16" s="19"/>
      <c r="G16" s="19"/>
      <c r="H16" s="19"/>
      <c r="I16" s="19"/>
      <c r="J16" s="19"/>
      <c r="K16" s="19"/>
      <c r="L16" s="19"/>
      <c r="M16" s="19"/>
      <c r="N16" s="19"/>
      <c r="O16" s="20"/>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row>
    <row r="17" spans="1:217" s="18" customFormat="1" ht="31.5" hidden="1">
      <c r="A17" s="23">
        <v>7</v>
      </c>
      <c r="B17" s="24" t="s">
        <v>117</v>
      </c>
      <c r="C17" s="19" t="s">
        <v>61</v>
      </c>
      <c r="D17" s="134"/>
      <c r="E17" s="19"/>
      <c r="F17" s="19"/>
      <c r="G17" s="19"/>
      <c r="H17" s="19"/>
      <c r="I17" s="19"/>
      <c r="J17" s="19"/>
      <c r="K17" s="19"/>
      <c r="L17" s="19"/>
      <c r="M17" s="19"/>
      <c r="N17" s="19"/>
      <c r="O17" s="20"/>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row>
    <row r="18" spans="1:217" s="18" customFormat="1" hidden="1">
      <c r="A18" s="23">
        <v>9</v>
      </c>
      <c r="B18" s="24" t="s">
        <v>66</v>
      </c>
      <c r="C18" s="19" t="s">
        <v>61</v>
      </c>
      <c r="D18" s="134"/>
      <c r="E18" s="19"/>
      <c r="F18" s="19"/>
      <c r="G18" s="19"/>
      <c r="H18" s="19"/>
      <c r="I18" s="19"/>
      <c r="J18" s="19"/>
      <c r="K18" s="19"/>
      <c r="L18" s="19"/>
      <c r="M18" s="19"/>
      <c r="N18" s="19"/>
      <c r="O18" s="20"/>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c r="FZ18" s="21"/>
      <c r="GA18" s="21"/>
      <c r="GB18" s="21"/>
      <c r="GC18" s="21"/>
      <c r="GD18" s="21"/>
      <c r="GE18" s="21"/>
      <c r="GF18" s="21"/>
      <c r="GG18" s="21"/>
      <c r="GH18" s="21"/>
      <c r="GI18" s="21"/>
      <c r="GJ18" s="21"/>
      <c r="GK18" s="21"/>
      <c r="GL18" s="21"/>
      <c r="GM18" s="21"/>
      <c r="GN18" s="21"/>
      <c r="GO18" s="21"/>
      <c r="GP18" s="21"/>
      <c r="GQ18" s="21"/>
      <c r="GR18" s="21"/>
      <c r="GS18" s="21"/>
      <c r="GT18" s="21"/>
      <c r="GU18" s="21"/>
      <c r="GV18" s="21"/>
      <c r="GW18" s="21"/>
      <c r="GX18" s="21"/>
      <c r="GY18" s="21"/>
      <c r="GZ18" s="21"/>
      <c r="HA18" s="21"/>
      <c r="HB18" s="21"/>
      <c r="HC18" s="21"/>
      <c r="HD18" s="21"/>
      <c r="HE18" s="21"/>
      <c r="HF18" s="21"/>
      <c r="HG18" s="21"/>
      <c r="HH18" s="21"/>
      <c r="HI18" s="21"/>
    </row>
    <row r="19" spans="1:217" s="18" customFormat="1" hidden="1">
      <c r="A19" s="23"/>
      <c r="B19" s="22" t="s">
        <v>67</v>
      </c>
      <c r="C19" s="19"/>
      <c r="D19" s="134"/>
      <c r="E19" s="19"/>
      <c r="F19" s="19"/>
      <c r="G19" s="19"/>
      <c r="H19" s="19"/>
      <c r="I19" s="19"/>
      <c r="J19" s="19"/>
      <c r="K19" s="19"/>
      <c r="L19" s="19"/>
      <c r="M19" s="19"/>
      <c r="N19" s="19"/>
      <c r="O19" s="20"/>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c r="FZ19" s="21"/>
      <c r="GA19" s="21"/>
      <c r="GB19" s="21"/>
      <c r="GC19" s="21"/>
      <c r="GD19" s="21"/>
      <c r="GE19" s="21"/>
      <c r="GF19" s="21"/>
      <c r="GG19" s="21"/>
      <c r="GH19" s="21"/>
      <c r="GI19" s="21"/>
      <c r="GJ19" s="21"/>
      <c r="GK19" s="21"/>
      <c r="GL19" s="21"/>
      <c r="GM19" s="21"/>
      <c r="GN19" s="21"/>
      <c r="GO19" s="21"/>
      <c r="GP19" s="21"/>
      <c r="GQ19" s="21"/>
      <c r="GR19" s="21"/>
      <c r="GS19" s="21"/>
      <c r="GT19" s="21"/>
      <c r="GU19" s="21"/>
      <c r="GV19" s="21"/>
      <c r="GW19" s="21"/>
      <c r="GX19" s="21"/>
      <c r="GY19" s="21"/>
      <c r="GZ19" s="21"/>
      <c r="HA19" s="21"/>
      <c r="HB19" s="21"/>
      <c r="HC19" s="21"/>
      <c r="HD19" s="21"/>
      <c r="HE19" s="21"/>
      <c r="HF19" s="21"/>
      <c r="HG19" s="21"/>
      <c r="HH19" s="21"/>
      <c r="HI19" s="21"/>
    </row>
    <row r="20" spans="1:217" s="18" customFormat="1" ht="63" hidden="1">
      <c r="A20" s="23">
        <v>1</v>
      </c>
      <c r="B20" s="24" t="s">
        <v>68</v>
      </c>
      <c r="C20" s="19" t="s">
        <v>12</v>
      </c>
      <c r="D20" s="134"/>
      <c r="E20" s="19"/>
      <c r="F20" s="19"/>
      <c r="G20" s="19"/>
      <c r="H20" s="19"/>
      <c r="I20" s="19"/>
      <c r="J20" s="19"/>
      <c r="K20" s="19"/>
      <c r="L20" s="19"/>
      <c r="M20" s="19"/>
      <c r="N20" s="19"/>
      <c r="O20" s="20"/>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c r="FI20" s="21"/>
      <c r="FJ20" s="21"/>
      <c r="FK20" s="21"/>
      <c r="FL20" s="21"/>
      <c r="FM20" s="21"/>
      <c r="FN20" s="21"/>
      <c r="FO20" s="21"/>
      <c r="FP20" s="21"/>
      <c r="FQ20" s="21"/>
      <c r="FR20" s="21"/>
      <c r="FS20" s="21"/>
      <c r="FT20" s="21"/>
      <c r="FU20" s="21"/>
      <c r="FV20" s="21"/>
      <c r="FW20" s="21"/>
      <c r="FX20" s="21"/>
      <c r="FY20" s="21"/>
      <c r="FZ20" s="21"/>
      <c r="GA20" s="21"/>
      <c r="GB20" s="21"/>
      <c r="GC20" s="21"/>
      <c r="GD20" s="21"/>
      <c r="GE20" s="21"/>
      <c r="GF20" s="21"/>
      <c r="GG20" s="21"/>
      <c r="GH20" s="21"/>
      <c r="GI20" s="21"/>
      <c r="GJ20" s="21"/>
      <c r="GK20" s="21"/>
      <c r="GL20" s="21"/>
      <c r="GM20" s="21"/>
      <c r="GN20" s="21"/>
      <c r="GO20" s="21"/>
      <c r="GP20" s="21"/>
      <c r="GQ20" s="21"/>
      <c r="GR20" s="21"/>
      <c r="GS20" s="21"/>
      <c r="GT20" s="21"/>
      <c r="GU20" s="21"/>
      <c r="GV20" s="21"/>
      <c r="GW20" s="21"/>
      <c r="GX20" s="21"/>
      <c r="GY20" s="21"/>
      <c r="GZ20" s="21"/>
      <c r="HA20" s="21"/>
      <c r="HB20" s="21"/>
      <c r="HC20" s="21"/>
      <c r="HD20" s="21"/>
      <c r="HE20" s="21"/>
      <c r="HF20" s="21"/>
      <c r="HG20" s="21"/>
      <c r="HH20" s="21"/>
      <c r="HI20" s="21"/>
    </row>
    <row r="21" spans="1:217" s="18" customFormat="1" ht="47.25" hidden="1">
      <c r="A21" s="23">
        <v>2</v>
      </c>
      <c r="B21" s="24" t="s">
        <v>69</v>
      </c>
      <c r="C21" s="19" t="s">
        <v>12</v>
      </c>
      <c r="D21" s="134"/>
      <c r="E21" s="19"/>
      <c r="F21" s="19"/>
      <c r="G21" s="19"/>
      <c r="H21" s="19"/>
      <c r="I21" s="19"/>
      <c r="J21" s="19"/>
      <c r="K21" s="19"/>
      <c r="L21" s="19"/>
      <c r="M21" s="19"/>
      <c r="N21" s="19"/>
      <c r="O21" s="20"/>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c r="FM21" s="21"/>
      <c r="FN21" s="21"/>
      <c r="FO21" s="21"/>
      <c r="FP21" s="21"/>
      <c r="FQ21" s="21"/>
      <c r="FR21" s="21"/>
      <c r="FS21" s="21"/>
      <c r="FT21" s="21"/>
      <c r="FU21" s="21"/>
      <c r="FV21" s="21"/>
      <c r="FW21" s="21"/>
      <c r="FX21" s="21"/>
      <c r="FY21" s="21"/>
      <c r="FZ21" s="21"/>
      <c r="GA21" s="21"/>
      <c r="GB21" s="21"/>
      <c r="GC21" s="21"/>
      <c r="GD21" s="21"/>
      <c r="GE21" s="21"/>
      <c r="GF21" s="21"/>
      <c r="GG21" s="21"/>
      <c r="GH21" s="21"/>
      <c r="GI21" s="21"/>
      <c r="GJ21" s="21"/>
      <c r="GK21" s="21"/>
      <c r="GL21" s="21"/>
      <c r="GM21" s="21"/>
      <c r="GN21" s="21"/>
      <c r="GO21" s="21"/>
      <c r="GP21" s="21"/>
      <c r="GQ21" s="21"/>
      <c r="GR21" s="21"/>
      <c r="GS21" s="21"/>
      <c r="GT21" s="21"/>
      <c r="GU21" s="21"/>
      <c r="GV21" s="21"/>
      <c r="GW21" s="21"/>
      <c r="GX21" s="21"/>
      <c r="GY21" s="21"/>
      <c r="GZ21" s="21"/>
      <c r="HA21" s="21"/>
      <c r="HB21" s="21"/>
      <c r="HC21" s="21"/>
      <c r="HD21" s="21"/>
      <c r="HE21" s="21"/>
      <c r="HF21" s="21"/>
      <c r="HG21" s="21"/>
      <c r="HH21" s="21"/>
      <c r="HI21" s="21"/>
    </row>
    <row r="22" spans="1:217" s="18" customFormat="1" ht="78.75" hidden="1">
      <c r="A22" s="23">
        <v>3</v>
      </c>
      <c r="B22" s="24" t="s">
        <v>70</v>
      </c>
      <c r="C22" s="19" t="s">
        <v>12</v>
      </c>
      <c r="D22" s="134"/>
      <c r="E22" s="19"/>
      <c r="F22" s="19"/>
      <c r="G22" s="19"/>
      <c r="H22" s="19"/>
      <c r="I22" s="19"/>
      <c r="J22" s="19"/>
      <c r="K22" s="19"/>
      <c r="L22" s="19"/>
      <c r="M22" s="19"/>
      <c r="N22" s="19"/>
      <c r="O22" s="20"/>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c r="FI22" s="21"/>
      <c r="FJ22" s="21"/>
      <c r="FK22" s="21"/>
      <c r="FL22" s="21"/>
      <c r="FM22" s="21"/>
      <c r="FN22" s="21"/>
      <c r="FO22" s="21"/>
      <c r="FP22" s="21"/>
      <c r="FQ22" s="21"/>
      <c r="FR22" s="21"/>
      <c r="FS22" s="21"/>
      <c r="FT22" s="21"/>
      <c r="FU22" s="21"/>
      <c r="FV22" s="21"/>
      <c r="FW22" s="21"/>
      <c r="FX22" s="21"/>
      <c r="FY22" s="21"/>
      <c r="FZ22" s="21"/>
      <c r="GA22" s="21"/>
      <c r="GB22" s="21"/>
      <c r="GC22" s="21"/>
      <c r="GD22" s="21"/>
      <c r="GE22" s="21"/>
      <c r="GF22" s="21"/>
      <c r="GG22" s="21"/>
      <c r="GH22" s="21"/>
      <c r="GI22" s="21"/>
      <c r="GJ22" s="21"/>
      <c r="GK22" s="21"/>
      <c r="GL22" s="21"/>
      <c r="GM22" s="21"/>
      <c r="GN22" s="21"/>
      <c r="GO22" s="21"/>
      <c r="GP22" s="21"/>
      <c r="GQ22" s="21"/>
      <c r="GR22" s="21"/>
      <c r="GS22" s="21"/>
      <c r="GT22" s="21"/>
      <c r="GU22" s="21"/>
      <c r="GV22" s="21"/>
      <c r="GW22" s="21"/>
      <c r="GX22" s="21"/>
      <c r="GY22" s="21"/>
      <c r="GZ22" s="21"/>
      <c r="HA22" s="21"/>
      <c r="HB22" s="21"/>
      <c r="HC22" s="21"/>
      <c r="HD22" s="21"/>
      <c r="HE22" s="21"/>
      <c r="HF22" s="21"/>
      <c r="HG22" s="21"/>
      <c r="HH22" s="21"/>
      <c r="HI22" s="21"/>
    </row>
    <row r="23" spans="1:217" s="18" customFormat="1" ht="31.5" hidden="1">
      <c r="A23" s="23">
        <v>4</v>
      </c>
      <c r="B23" s="24" t="s">
        <v>118</v>
      </c>
      <c r="C23" s="19" t="s">
        <v>12</v>
      </c>
      <c r="D23" s="134"/>
      <c r="E23" s="19"/>
      <c r="F23" s="19"/>
      <c r="G23" s="19"/>
      <c r="H23" s="19"/>
      <c r="I23" s="19"/>
      <c r="J23" s="19"/>
      <c r="K23" s="19"/>
      <c r="L23" s="19"/>
      <c r="M23" s="19"/>
      <c r="N23" s="19"/>
      <c r="O23" s="20"/>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c r="FM23" s="21"/>
      <c r="FN23" s="21"/>
      <c r="FO23" s="21"/>
      <c r="FP23" s="21"/>
      <c r="FQ23" s="21"/>
      <c r="FR23" s="21"/>
      <c r="FS23" s="21"/>
      <c r="FT23" s="21"/>
      <c r="FU23" s="21"/>
      <c r="FV23" s="21"/>
      <c r="FW23" s="21"/>
      <c r="FX23" s="21"/>
      <c r="FY23" s="21"/>
      <c r="FZ23" s="21"/>
      <c r="GA23" s="21"/>
      <c r="GB23" s="21"/>
      <c r="GC23" s="21"/>
      <c r="GD23" s="21"/>
      <c r="GE23" s="21"/>
      <c r="GF23" s="21"/>
      <c r="GG23" s="21"/>
      <c r="GH23" s="21"/>
      <c r="GI23" s="21"/>
      <c r="GJ23" s="21"/>
      <c r="GK23" s="21"/>
      <c r="GL23" s="21"/>
      <c r="GM23" s="21"/>
      <c r="GN23" s="21"/>
      <c r="GO23" s="21"/>
      <c r="GP23" s="21"/>
      <c r="GQ23" s="21"/>
      <c r="GR23" s="21"/>
      <c r="GS23" s="21"/>
      <c r="GT23" s="21"/>
      <c r="GU23" s="21"/>
      <c r="GV23" s="21"/>
      <c r="GW23" s="21"/>
      <c r="GX23" s="21"/>
      <c r="GY23" s="21"/>
      <c r="GZ23" s="21"/>
      <c r="HA23" s="21"/>
      <c r="HB23" s="21"/>
      <c r="HC23" s="21"/>
      <c r="HD23" s="21"/>
      <c r="HE23" s="21"/>
      <c r="HF23" s="21"/>
      <c r="HG23" s="21"/>
      <c r="HH23" s="21"/>
      <c r="HI23" s="21"/>
    </row>
    <row r="24" spans="1:217" s="18" customFormat="1" ht="47.25" hidden="1">
      <c r="A24" s="23">
        <v>5</v>
      </c>
      <c r="B24" s="24" t="s">
        <v>71</v>
      </c>
      <c r="C24" s="19" t="s">
        <v>12</v>
      </c>
      <c r="D24" s="134"/>
      <c r="E24" s="19"/>
      <c r="F24" s="19"/>
      <c r="G24" s="19"/>
      <c r="H24" s="19"/>
      <c r="I24" s="19"/>
      <c r="J24" s="19"/>
      <c r="K24" s="19"/>
      <c r="L24" s="19"/>
      <c r="M24" s="19"/>
      <c r="N24" s="19"/>
      <c r="O24" s="20"/>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c r="HH24" s="21"/>
      <c r="HI24" s="21"/>
    </row>
    <row r="25" spans="1:217" s="18" customFormat="1" ht="47.25" hidden="1">
      <c r="A25" s="23">
        <v>6</v>
      </c>
      <c r="B25" s="24" t="s">
        <v>72</v>
      </c>
      <c r="C25" s="19" t="s">
        <v>12</v>
      </c>
      <c r="D25" s="134"/>
      <c r="E25" s="19"/>
      <c r="F25" s="19"/>
      <c r="G25" s="19"/>
      <c r="H25" s="19"/>
      <c r="I25" s="19"/>
      <c r="J25" s="19"/>
      <c r="K25" s="19"/>
      <c r="L25" s="19"/>
      <c r="M25" s="19"/>
      <c r="N25" s="19"/>
      <c r="O25" s="20"/>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c r="HH25" s="21"/>
      <c r="HI25" s="21"/>
    </row>
    <row r="26" spans="1:217" s="18" customFormat="1" ht="63" hidden="1">
      <c r="A26" s="23">
        <v>7</v>
      </c>
      <c r="B26" s="24" t="s">
        <v>119</v>
      </c>
      <c r="C26" s="19" t="s">
        <v>12</v>
      </c>
      <c r="D26" s="134"/>
      <c r="E26" s="19"/>
      <c r="F26" s="19"/>
      <c r="G26" s="19"/>
      <c r="H26" s="19"/>
      <c r="I26" s="19"/>
      <c r="J26" s="19"/>
      <c r="K26" s="19"/>
      <c r="L26" s="19"/>
      <c r="M26" s="19"/>
      <c r="N26" s="19"/>
      <c r="O26" s="20"/>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row>
    <row r="27" spans="1:217" s="18" customFormat="1" hidden="1">
      <c r="A27" s="23">
        <v>8</v>
      </c>
      <c r="B27" s="24" t="s">
        <v>120</v>
      </c>
      <c r="C27" s="19" t="s">
        <v>12</v>
      </c>
      <c r="D27" s="134"/>
      <c r="E27" s="19"/>
      <c r="F27" s="19"/>
      <c r="G27" s="19"/>
      <c r="H27" s="19"/>
      <c r="I27" s="19"/>
      <c r="J27" s="19"/>
      <c r="K27" s="19"/>
      <c r="L27" s="19"/>
      <c r="M27" s="19"/>
      <c r="N27" s="19"/>
      <c r="O27" s="20"/>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21"/>
      <c r="GM27" s="21"/>
      <c r="GN27" s="21"/>
      <c r="GO27" s="21"/>
      <c r="GP27" s="21"/>
      <c r="GQ27" s="21"/>
      <c r="GR27" s="21"/>
      <c r="GS27" s="21"/>
      <c r="GT27" s="21"/>
      <c r="GU27" s="21"/>
      <c r="GV27" s="21"/>
      <c r="GW27" s="21"/>
      <c r="GX27" s="21"/>
      <c r="GY27" s="21"/>
      <c r="GZ27" s="21"/>
      <c r="HA27" s="21"/>
      <c r="HB27" s="21"/>
      <c r="HC27" s="21"/>
      <c r="HD27" s="21"/>
      <c r="HE27" s="21"/>
      <c r="HF27" s="21"/>
      <c r="HG27" s="21"/>
      <c r="HH27" s="21"/>
      <c r="HI27" s="21"/>
    </row>
    <row r="28" spans="1:217" s="18" customFormat="1" hidden="1">
      <c r="A28" s="13" t="s">
        <v>73</v>
      </c>
      <c r="B28" s="14" t="s">
        <v>74</v>
      </c>
      <c r="C28" s="19"/>
      <c r="D28" s="134"/>
      <c r="E28" s="19"/>
      <c r="F28" s="19"/>
      <c r="G28" s="19"/>
      <c r="H28" s="19"/>
      <c r="I28" s="19"/>
      <c r="J28" s="19"/>
      <c r="K28" s="19"/>
      <c r="L28" s="19"/>
      <c r="M28" s="19"/>
      <c r="N28" s="19"/>
      <c r="O28" s="16"/>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21"/>
      <c r="GM28" s="21"/>
      <c r="GN28" s="21"/>
      <c r="GO28" s="21"/>
      <c r="GP28" s="21"/>
      <c r="GQ28" s="21"/>
      <c r="GR28" s="21"/>
      <c r="GS28" s="21"/>
      <c r="GT28" s="21"/>
      <c r="GU28" s="21"/>
      <c r="GV28" s="21"/>
      <c r="GW28" s="21"/>
      <c r="GX28" s="21"/>
      <c r="GY28" s="21"/>
      <c r="GZ28" s="21"/>
      <c r="HA28" s="21"/>
      <c r="HB28" s="21"/>
      <c r="HC28" s="21"/>
      <c r="HD28" s="21"/>
      <c r="HE28" s="21"/>
      <c r="HF28" s="21"/>
      <c r="HG28" s="21"/>
      <c r="HH28" s="21"/>
      <c r="HI28" s="21"/>
    </row>
    <row r="29" spans="1:217" s="18" customFormat="1" ht="47.25" hidden="1">
      <c r="A29" s="23">
        <v>1</v>
      </c>
      <c r="B29" s="24" t="s">
        <v>121</v>
      </c>
      <c r="C29" s="19" t="s">
        <v>12</v>
      </c>
      <c r="D29" s="134"/>
      <c r="E29" s="19"/>
      <c r="F29" s="19"/>
      <c r="G29" s="19"/>
      <c r="H29" s="19"/>
      <c r="I29" s="19"/>
      <c r="J29" s="19"/>
      <c r="K29" s="19"/>
      <c r="L29" s="19"/>
      <c r="M29" s="19"/>
      <c r="N29" s="19"/>
      <c r="O29" s="20"/>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row>
    <row r="30" spans="1:217" s="18" customFormat="1" hidden="1">
      <c r="A30" s="23">
        <v>2</v>
      </c>
      <c r="B30" s="24" t="s">
        <v>75</v>
      </c>
      <c r="C30" s="19" t="s">
        <v>28</v>
      </c>
      <c r="D30" s="134"/>
      <c r="E30" s="19"/>
      <c r="F30" s="19"/>
      <c r="G30" s="19"/>
      <c r="H30" s="19"/>
      <c r="I30" s="19"/>
      <c r="J30" s="19"/>
      <c r="K30" s="19"/>
      <c r="L30" s="19"/>
      <c r="M30" s="19"/>
      <c r="N30" s="19"/>
      <c r="O30" s="20"/>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c r="FM30" s="21"/>
      <c r="FN30" s="21"/>
      <c r="FO30" s="21"/>
      <c r="FP30" s="21"/>
      <c r="FQ30" s="21"/>
      <c r="FR30" s="21"/>
      <c r="FS30" s="21"/>
      <c r="FT30" s="21"/>
      <c r="FU30" s="21"/>
      <c r="FV30" s="21"/>
      <c r="FW30" s="21"/>
      <c r="FX30" s="21"/>
      <c r="FY30" s="21"/>
      <c r="FZ30" s="21"/>
      <c r="GA30" s="21"/>
      <c r="GB30" s="21"/>
      <c r="GC30" s="21"/>
      <c r="GD30" s="21"/>
      <c r="GE30" s="21"/>
      <c r="GF30" s="21"/>
      <c r="GG30" s="21"/>
      <c r="GH30" s="21"/>
      <c r="GI30" s="21"/>
      <c r="GJ30" s="21"/>
      <c r="GK30" s="21"/>
      <c r="GL30" s="21"/>
      <c r="GM30" s="21"/>
      <c r="GN30" s="21"/>
      <c r="GO30" s="21"/>
      <c r="GP30" s="21"/>
      <c r="GQ30" s="21"/>
      <c r="GR30" s="21"/>
      <c r="GS30" s="21"/>
      <c r="GT30" s="21"/>
      <c r="GU30" s="21"/>
      <c r="GV30" s="21"/>
      <c r="GW30" s="21"/>
      <c r="GX30" s="21"/>
      <c r="GY30" s="21"/>
      <c r="GZ30" s="21"/>
      <c r="HA30" s="21"/>
      <c r="HB30" s="21"/>
      <c r="HC30" s="21"/>
      <c r="HD30" s="21"/>
      <c r="HE30" s="21"/>
      <c r="HF30" s="21"/>
      <c r="HG30" s="21"/>
      <c r="HH30" s="21"/>
      <c r="HI30" s="21"/>
    </row>
    <row r="31" spans="1:217" s="18" customFormat="1" hidden="1">
      <c r="A31" s="23">
        <v>3</v>
      </c>
      <c r="B31" s="24" t="s">
        <v>76</v>
      </c>
      <c r="C31" s="19" t="s">
        <v>28</v>
      </c>
      <c r="D31" s="134"/>
      <c r="E31" s="19"/>
      <c r="F31" s="19"/>
      <c r="G31" s="19"/>
      <c r="H31" s="19"/>
      <c r="I31" s="19"/>
      <c r="J31" s="19"/>
      <c r="K31" s="19"/>
      <c r="L31" s="19"/>
      <c r="M31" s="19"/>
      <c r="N31" s="19"/>
      <c r="O31" s="20"/>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row>
    <row r="32" spans="1:217" s="18" customFormat="1" hidden="1">
      <c r="A32" s="13" t="s">
        <v>77</v>
      </c>
      <c r="B32" s="14" t="s">
        <v>122</v>
      </c>
      <c r="C32" s="19"/>
      <c r="D32" s="134"/>
      <c r="E32" s="19"/>
      <c r="F32" s="19"/>
      <c r="G32" s="19"/>
      <c r="H32" s="19"/>
      <c r="I32" s="19"/>
      <c r="J32" s="19"/>
      <c r="K32" s="19"/>
      <c r="L32" s="19"/>
      <c r="M32" s="19"/>
      <c r="N32" s="19"/>
      <c r="O32" s="20"/>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row>
    <row r="33" spans="1:217" s="18" customFormat="1" ht="47.25" hidden="1">
      <c r="A33" s="23">
        <v>1</v>
      </c>
      <c r="B33" s="24" t="s">
        <v>123</v>
      </c>
      <c r="C33" s="19" t="s">
        <v>124</v>
      </c>
      <c r="D33" s="134"/>
      <c r="E33" s="19"/>
      <c r="F33" s="19"/>
      <c r="G33" s="19"/>
      <c r="H33" s="19"/>
      <c r="I33" s="19"/>
      <c r="J33" s="19"/>
      <c r="K33" s="19"/>
      <c r="L33" s="19"/>
      <c r="M33" s="19"/>
      <c r="N33" s="19"/>
      <c r="O33" s="20"/>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c r="HH33" s="21"/>
      <c r="HI33" s="21"/>
    </row>
    <row r="34" spans="1:217" s="18" customFormat="1" ht="31.5" hidden="1">
      <c r="A34" s="23">
        <v>2</v>
      </c>
      <c r="B34" s="24" t="s">
        <v>125</v>
      </c>
      <c r="C34" s="19" t="s">
        <v>124</v>
      </c>
      <c r="D34" s="134"/>
      <c r="E34" s="19"/>
      <c r="F34" s="19"/>
      <c r="G34" s="19"/>
      <c r="H34" s="19"/>
      <c r="I34" s="19"/>
      <c r="J34" s="19"/>
      <c r="K34" s="19"/>
      <c r="L34" s="19"/>
      <c r="M34" s="19"/>
      <c r="N34" s="19"/>
      <c r="O34" s="20"/>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row>
    <row r="35" spans="1:217" s="18" customFormat="1" ht="31.5" hidden="1">
      <c r="A35" s="23">
        <v>3</v>
      </c>
      <c r="B35" s="24" t="s">
        <v>126</v>
      </c>
      <c r="C35" s="19" t="s">
        <v>124</v>
      </c>
      <c r="D35" s="134"/>
      <c r="E35" s="19"/>
      <c r="F35" s="19"/>
      <c r="G35" s="19"/>
      <c r="H35" s="19"/>
      <c r="I35" s="19"/>
      <c r="J35" s="19"/>
      <c r="K35" s="19"/>
      <c r="L35" s="19"/>
      <c r="M35" s="19"/>
      <c r="N35" s="19"/>
      <c r="O35" s="20"/>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c r="HH35" s="21"/>
      <c r="HI35" s="21"/>
    </row>
    <row r="36" spans="1:217" s="18" customFormat="1" ht="31.5" hidden="1">
      <c r="A36" s="13" t="s">
        <v>87</v>
      </c>
      <c r="B36" s="14" t="s">
        <v>78</v>
      </c>
      <c r="C36" s="19"/>
      <c r="D36" s="134"/>
      <c r="E36" s="19"/>
      <c r="F36" s="19"/>
      <c r="G36" s="19"/>
      <c r="H36" s="19"/>
      <c r="I36" s="19"/>
      <c r="J36" s="19"/>
      <c r="K36" s="19"/>
      <c r="L36" s="19"/>
      <c r="M36" s="19"/>
      <c r="N36" s="19"/>
      <c r="O36" s="16"/>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row>
    <row r="37" spans="1:217" s="18" customFormat="1" hidden="1">
      <c r="A37" s="23">
        <v>1</v>
      </c>
      <c r="B37" s="24" t="s">
        <v>79</v>
      </c>
      <c r="C37" s="19" t="s">
        <v>12</v>
      </c>
      <c r="D37" s="134"/>
      <c r="E37" s="19"/>
      <c r="F37" s="19"/>
      <c r="G37" s="19"/>
      <c r="H37" s="19"/>
      <c r="I37" s="19"/>
      <c r="J37" s="19"/>
      <c r="K37" s="19"/>
      <c r="L37" s="19"/>
      <c r="M37" s="19"/>
      <c r="N37" s="19"/>
      <c r="O37" s="20"/>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21"/>
      <c r="EB37" s="21"/>
      <c r="EC37" s="21"/>
      <c r="ED37" s="21"/>
      <c r="EE37" s="21"/>
      <c r="EF37" s="21"/>
      <c r="EG37" s="21"/>
      <c r="EH37" s="21"/>
      <c r="EI37" s="21"/>
      <c r="EJ37" s="21"/>
      <c r="EK37" s="21"/>
      <c r="EL37" s="21"/>
      <c r="EM37" s="21"/>
      <c r="EN37" s="21"/>
      <c r="EO37" s="21"/>
      <c r="EP37" s="21"/>
      <c r="EQ37" s="21"/>
      <c r="ER37" s="21"/>
      <c r="ES37" s="21"/>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c r="FX37" s="21"/>
      <c r="FY37" s="21"/>
      <c r="FZ37" s="21"/>
      <c r="GA37" s="21"/>
      <c r="GB37" s="21"/>
      <c r="GC37" s="21"/>
      <c r="GD37" s="21"/>
      <c r="GE37" s="21"/>
      <c r="GF37" s="21"/>
      <c r="GG37" s="21"/>
      <c r="GH37" s="21"/>
      <c r="GI37" s="21"/>
      <c r="GJ37" s="21"/>
      <c r="GK37" s="21"/>
      <c r="GL37" s="21"/>
      <c r="GM37" s="21"/>
      <c r="GN37" s="21"/>
      <c r="GO37" s="21"/>
      <c r="GP37" s="21"/>
      <c r="GQ37" s="21"/>
      <c r="GR37" s="21"/>
      <c r="GS37" s="21"/>
      <c r="GT37" s="21"/>
      <c r="GU37" s="21"/>
      <c r="GV37" s="21"/>
      <c r="GW37" s="21"/>
      <c r="GX37" s="21"/>
      <c r="GY37" s="21"/>
      <c r="GZ37" s="21"/>
      <c r="HA37" s="21"/>
      <c r="HB37" s="21"/>
      <c r="HC37" s="21"/>
      <c r="HD37" s="21"/>
      <c r="HE37" s="21"/>
      <c r="HF37" s="21"/>
      <c r="HG37" s="21"/>
      <c r="HH37" s="21"/>
      <c r="HI37" s="21"/>
    </row>
    <row r="38" spans="1:217" s="18" customFormat="1" ht="31.5" hidden="1">
      <c r="A38" s="23">
        <v>2</v>
      </c>
      <c r="B38" s="24" t="s">
        <v>80</v>
      </c>
      <c r="C38" s="19" t="s">
        <v>12</v>
      </c>
      <c r="D38" s="134"/>
      <c r="E38" s="19"/>
      <c r="F38" s="19"/>
      <c r="G38" s="19"/>
      <c r="H38" s="19"/>
      <c r="I38" s="19"/>
      <c r="J38" s="19"/>
      <c r="K38" s="19"/>
      <c r="L38" s="19"/>
      <c r="M38" s="19"/>
      <c r="N38" s="19"/>
      <c r="O38" s="20"/>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row>
    <row r="39" spans="1:217" s="18" customFormat="1" hidden="1">
      <c r="A39" s="23">
        <v>3</v>
      </c>
      <c r="B39" s="24" t="s">
        <v>81</v>
      </c>
      <c r="C39" s="19" t="s">
        <v>12</v>
      </c>
      <c r="D39" s="134"/>
      <c r="E39" s="19"/>
      <c r="F39" s="19"/>
      <c r="G39" s="19"/>
      <c r="H39" s="19"/>
      <c r="I39" s="19"/>
      <c r="J39" s="19"/>
      <c r="K39" s="19"/>
      <c r="L39" s="19"/>
      <c r="M39" s="19"/>
      <c r="N39" s="19"/>
      <c r="O39" s="20"/>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row>
    <row r="40" spans="1:217" s="18" customFormat="1" hidden="1">
      <c r="A40" s="23">
        <v>4</v>
      </c>
      <c r="B40" s="24" t="s">
        <v>82</v>
      </c>
      <c r="C40" s="19" t="s">
        <v>12</v>
      </c>
      <c r="D40" s="134"/>
      <c r="E40" s="19"/>
      <c r="F40" s="19"/>
      <c r="G40" s="19"/>
      <c r="H40" s="19"/>
      <c r="I40" s="19"/>
      <c r="J40" s="19"/>
      <c r="K40" s="19"/>
      <c r="L40" s="19"/>
      <c r="M40" s="19"/>
      <c r="N40" s="19"/>
      <c r="O40" s="20"/>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row>
    <row r="41" spans="1:217" s="18" customFormat="1" hidden="1">
      <c r="A41" s="23">
        <v>5</v>
      </c>
      <c r="B41" s="24" t="s">
        <v>83</v>
      </c>
      <c r="C41" s="19" t="s">
        <v>28</v>
      </c>
      <c r="D41" s="134"/>
      <c r="E41" s="19"/>
      <c r="F41" s="19"/>
      <c r="G41" s="19"/>
      <c r="H41" s="19"/>
      <c r="I41" s="19"/>
      <c r="J41" s="19"/>
      <c r="K41" s="19"/>
      <c r="L41" s="19"/>
      <c r="M41" s="19"/>
      <c r="N41" s="19"/>
      <c r="O41" s="20"/>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row>
    <row r="42" spans="1:217" s="18" customFormat="1" hidden="1">
      <c r="A42" s="23">
        <v>6</v>
      </c>
      <c r="B42" s="24" t="s">
        <v>84</v>
      </c>
      <c r="C42" s="19" t="s">
        <v>85</v>
      </c>
      <c r="D42" s="134"/>
      <c r="E42" s="19"/>
      <c r="F42" s="19"/>
      <c r="G42" s="19"/>
      <c r="H42" s="19"/>
      <c r="I42" s="19"/>
      <c r="J42" s="19"/>
      <c r="K42" s="19"/>
      <c r="L42" s="19"/>
      <c r="M42" s="19"/>
      <c r="N42" s="19"/>
      <c r="O42" s="20"/>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21"/>
      <c r="EB42" s="21"/>
      <c r="EC42" s="21"/>
      <c r="ED42" s="21"/>
      <c r="EE42" s="21"/>
      <c r="EF42" s="21"/>
      <c r="EG42" s="21"/>
      <c r="EH42" s="21"/>
      <c r="EI42" s="21"/>
      <c r="EJ42" s="21"/>
      <c r="EK42" s="21"/>
      <c r="EL42" s="21"/>
      <c r="EM42" s="21"/>
      <c r="EN42" s="21"/>
      <c r="EO42" s="21"/>
      <c r="EP42" s="21"/>
      <c r="EQ42" s="21"/>
      <c r="ER42" s="21"/>
      <c r="ES42" s="21"/>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c r="FX42" s="21"/>
      <c r="FY42" s="21"/>
      <c r="FZ42" s="21"/>
      <c r="GA42" s="21"/>
      <c r="GB42" s="21"/>
      <c r="GC42" s="21"/>
      <c r="GD42" s="21"/>
      <c r="GE42" s="21"/>
      <c r="GF42" s="21"/>
      <c r="GG42" s="21"/>
      <c r="GH42" s="21"/>
      <c r="GI42" s="21"/>
      <c r="GJ42" s="21"/>
      <c r="GK42" s="21"/>
      <c r="GL42" s="21"/>
      <c r="GM42" s="21"/>
      <c r="GN42" s="21"/>
      <c r="GO42" s="21"/>
      <c r="GP42" s="21"/>
      <c r="GQ42" s="21"/>
      <c r="GR42" s="21"/>
      <c r="GS42" s="21"/>
      <c r="GT42" s="21"/>
      <c r="GU42" s="21"/>
      <c r="GV42" s="21"/>
      <c r="GW42" s="21"/>
      <c r="GX42" s="21"/>
      <c r="GY42" s="21"/>
      <c r="GZ42" s="21"/>
      <c r="HA42" s="21"/>
      <c r="HB42" s="21"/>
      <c r="HC42" s="21"/>
      <c r="HD42" s="21"/>
      <c r="HE42" s="21"/>
      <c r="HF42" s="21"/>
      <c r="HG42" s="21"/>
      <c r="HH42" s="21"/>
      <c r="HI42" s="21"/>
    </row>
    <row r="43" spans="1:217" s="18" customFormat="1" hidden="1">
      <c r="A43" s="23">
        <v>7</v>
      </c>
      <c r="B43" s="24" t="s">
        <v>86</v>
      </c>
      <c r="C43" s="19" t="s">
        <v>85</v>
      </c>
      <c r="D43" s="134"/>
      <c r="E43" s="19"/>
      <c r="F43" s="19"/>
      <c r="G43" s="19"/>
      <c r="H43" s="19"/>
      <c r="I43" s="19"/>
      <c r="J43" s="19"/>
      <c r="K43" s="19"/>
      <c r="L43" s="19"/>
      <c r="M43" s="19"/>
      <c r="N43" s="19"/>
      <c r="O43" s="20"/>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row>
    <row r="44" spans="1:217" s="18" customFormat="1" hidden="1">
      <c r="A44" s="13" t="s">
        <v>127</v>
      </c>
      <c r="B44" s="14" t="s">
        <v>88</v>
      </c>
      <c r="C44" s="19"/>
      <c r="D44" s="134"/>
      <c r="E44" s="19"/>
      <c r="F44" s="19"/>
      <c r="G44" s="19"/>
      <c r="H44" s="19"/>
      <c r="I44" s="19"/>
      <c r="J44" s="19"/>
      <c r="K44" s="19"/>
      <c r="L44" s="19"/>
      <c r="M44" s="19"/>
      <c r="N44" s="19"/>
      <c r="O44" s="20"/>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row>
    <row r="45" spans="1:217" s="18" customFormat="1" ht="31.5" hidden="1">
      <c r="A45" s="23">
        <v>1</v>
      </c>
      <c r="B45" s="24" t="s">
        <v>89</v>
      </c>
      <c r="C45" s="19" t="s">
        <v>12</v>
      </c>
      <c r="D45" s="134"/>
      <c r="E45" s="19"/>
      <c r="F45" s="19"/>
      <c r="G45" s="19"/>
      <c r="H45" s="19"/>
      <c r="I45" s="19"/>
      <c r="J45" s="19"/>
      <c r="K45" s="19"/>
      <c r="L45" s="19"/>
      <c r="M45" s="19"/>
      <c r="N45" s="19"/>
      <c r="O45" s="25"/>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c r="DQ45" s="21"/>
      <c r="DR45" s="21"/>
      <c r="DS45" s="21"/>
      <c r="DT45" s="21"/>
      <c r="DU45" s="21"/>
      <c r="DV45" s="21"/>
      <c r="DW45" s="21"/>
      <c r="DX45" s="21"/>
      <c r="DY45" s="21"/>
      <c r="DZ45" s="21"/>
      <c r="EA45" s="21"/>
      <c r="EB45" s="21"/>
      <c r="EC45" s="21"/>
      <c r="ED45" s="21"/>
      <c r="EE45" s="21"/>
      <c r="EF45" s="21"/>
      <c r="EG45" s="21"/>
      <c r="EH45" s="21"/>
      <c r="EI45" s="21"/>
      <c r="EJ45" s="21"/>
      <c r="EK45" s="21"/>
      <c r="EL45" s="21"/>
      <c r="EM45" s="21"/>
      <c r="EN45" s="21"/>
      <c r="EO45" s="21"/>
      <c r="EP45" s="21"/>
      <c r="EQ45" s="21"/>
      <c r="ER45" s="21"/>
      <c r="ES45" s="21"/>
      <c r="ET45" s="21"/>
      <c r="EU45" s="21"/>
      <c r="EV45" s="21"/>
      <c r="EW45" s="21"/>
      <c r="EX45" s="21"/>
      <c r="EY45" s="21"/>
      <c r="EZ45" s="21"/>
      <c r="FA45" s="21"/>
      <c r="FB45" s="21"/>
      <c r="FC45" s="21"/>
      <c r="FD45" s="21"/>
      <c r="FE45" s="21"/>
      <c r="FF45" s="21"/>
      <c r="FG45" s="21"/>
      <c r="FH45" s="21"/>
      <c r="FI45" s="21"/>
      <c r="FJ45" s="21"/>
      <c r="FK45" s="21"/>
      <c r="FL45" s="21"/>
      <c r="FM45" s="21"/>
      <c r="FN45" s="21"/>
      <c r="FO45" s="21"/>
      <c r="FP45" s="21"/>
      <c r="FQ45" s="21"/>
      <c r="FR45" s="21"/>
      <c r="FS45" s="21"/>
      <c r="FT45" s="21"/>
      <c r="FU45" s="21"/>
      <c r="FV45" s="21"/>
      <c r="FW45" s="21"/>
      <c r="FX45" s="21"/>
      <c r="FY45" s="21"/>
      <c r="FZ45" s="21"/>
      <c r="GA45" s="21"/>
      <c r="GB45" s="21"/>
      <c r="GC45" s="21"/>
      <c r="GD45" s="21"/>
      <c r="GE45" s="21"/>
      <c r="GF45" s="21"/>
      <c r="GG45" s="21"/>
      <c r="GH45" s="21"/>
      <c r="GI45" s="21"/>
      <c r="GJ45" s="21"/>
      <c r="GK45" s="21"/>
      <c r="GL45" s="21"/>
      <c r="GM45" s="21"/>
      <c r="GN45" s="21"/>
      <c r="GO45" s="21"/>
      <c r="GP45" s="21"/>
      <c r="GQ45" s="21"/>
      <c r="GR45" s="21"/>
      <c r="GS45" s="21"/>
      <c r="GT45" s="21"/>
      <c r="GU45" s="21"/>
      <c r="GV45" s="21"/>
      <c r="GW45" s="21"/>
      <c r="GX45" s="21"/>
      <c r="GY45" s="21"/>
      <c r="GZ45" s="21"/>
      <c r="HA45" s="21"/>
      <c r="HB45" s="21"/>
      <c r="HC45" s="21"/>
      <c r="HD45" s="21"/>
      <c r="HE45" s="21"/>
      <c r="HF45" s="21"/>
      <c r="HG45" s="21"/>
      <c r="HH45" s="21"/>
      <c r="HI45" s="21"/>
    </row>
    <row r="46" spans="1:217" s="18" customFormat="1" hidden="1">
      <c r="A46" s="23">
        <v>2</v>
      </c>
      <c r="B46" s="24" t="s">
        <v>90</v>
      </c>
      <c r="C46" s="19" t="s">
        <v>28</v>
      </c>
      <c r="D46" s="134"/>
      <c r="E46" s="19"/>
      <c r="F46" s="19"/>
      <c r="G46" s="19"/>
      <c r="H46" s="19"/>
      <c r="I46" s="19"/>
      <c r="J46" s="19"/>
      <c r="K46" s="19"/>
      <c r="L46" s="19"/>
      <c r="M46" s="19"/>
      <c r="N46" s="19"/>
      <c r="O46" s="25"/>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c r="EM46" s="21"/>
      <c r="EN46" s="21"/>
      <c r="EO46" s="21"/>
      <c r="EP46" s="21"/>
      <c r="EQ46" s="21"/>
      <c r="ER46" s="21"/>
      <c r="ES46" s="21"/>
      <c r="ET46" s="21"/>
      <c r="EU46" s="21"/>
      <c r="EV46" s="21"/>
      <c r="EW46" s="21"/>
      <c r="EX46" s="21"/>
      <c r="EY46" s="21"/>
      <c r="EZ46" s="21"/>
      <c r="FA46" s="21"/>
      <c r="FB46" s="21"/>
      <c r="FC46" s="21"/>
      <c r="FD46" s="21"/>
      <c r="FE46" s="21"/>
      <c r="FF46" s="21"/>
      <c r="FG46" s="21"/>
      <c r="FH46" s="21"/>
      <c r="FI46" s="21"/>
      <c r="FJ46" s="21"/>
      <c r="FK46" s="21"/>
      <c r="FL46" s="21"/>
      <c r="FM46" s="21"/>
      <c r="FN46" s="21"/>
      <c r="FO46" s="21"/>
      <c r="FP46" s="21"/>
      <c r="FQ46" s="21"/>
      <c r="FR46" s="21"/>
      <c r="FS46" s="21"/>
      <c r="FT46" s="21"/>
      <c r="FU46" s="21"/>
      <c r="FV46" s="21"/>
      <c r="FW46" s="21"/>
      <c r="FX46" s="21"/>
      <c r="FY46" s="21"/>
      <c r="FZ46" s="21"/>
      <c r="GA46" s="21"/>
      <c r="GB46" s="21"/>
      <c r="GC46" s="21"/>
      <c r="GD46" s="21"/>
      <c r="GE46" s="21"/>
      <c r="GF46" s="21"/>
      <c r="GG46" s="21"/>
      <c r="GH46" s="21"/>
      <c r="GI46" s="21"/>
      <c r="GJ46" s="21"/>
      <c r="GK46" s="21"/>
      <c r="GL46" s="21"/>
      <c r="GM46" s="21"/>
      <c r="GN46" s="21"/>
      <c r="GO46" s="21"/>
      <c r="GP46" s="21"/>
      <c r="GQ46" s="21"/>
      <c r="GR46" s="21"/>
      <c r="GS46" s="21"/>
      <c r="GT46" s="21"/>
      <c r="GU46" s="21"/>
      <c r="GV46" s="21"/>
      <c r="GW46" s="21"/>
      <c r="GX46" s="21"/>
      <c r="GY46" s="21"/>
      <c r="GZ46" s="21"/>
      <c r="HA46" s="21"/>
      <c r="HB46" s="21"/>
      <c r="HC46" s="21"/>
      <c r="HD46" s="21"/>
      <c r="HE46" s="21"/>
      <c r="HF46" s="21"/>
      <c r="HG46" s="21"/>
      <c r="HH46" s="21"/>
      <c r="HI46" s="21"/>
    </row>
    <row r="47" spans="1:217" s="18" customFormat="1" hidden="1">
      <c r="A47" s="23">
        <v>3</v>
      </c>
      <c r="B47" s="24" t="s">
        <v>91</v>
      </c>
      <c r="C47" s="19" t="s">
        <v>12</v>
      </c>
      <c r="D47" s="134"/>
      <c r="E47" s="19"/>
      <c r="F47" s="19"/>
      <c r="G47" s="19"/>
      <c r="H47" s="19"/>
      <c r="I47" s="19"/>
      <c r="J47" s="19"/>
      <c r="K47" s="19"/>
      <c r="L47" s="19"/>
      <c r="M47" s="19"/>
      <c r="N47" s="19"/>
      <c r="O47" s="20"/>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c r="EQ47" s="21"/>
      <c r="ER47" s="21"/>
      <c r="ES47" s="21"/>
      <c r="ET47" s="21"/>
      <c r="EU47" s="21"/>
      <c r="EV47" s="21"/>
      <c r="EW47" s="21"/>
      <c r="EX47" s="21"/>
      <c r="EY47" s="21"/>
      <c r="EZ47" s="21"/>
      <c r="FA47" s="21"/>
      <c r="FB47" s="21"/>
      <c r="FC47" s="21"/>
      <c r="FD47" s="21"/>
      <c r="FE47" s="21"/>
      <c r="FF47" s="21"/>
      <c r="FG47" s="21"/>
      <c r="FH47" s="21"/>
      <c r="FI47" s="21"/>
      <c r="FJ47" s="21"/>
      <c r="FK47" s="21"/>
      <c r="FL47" s="21"/>
      <c r="FM47" s="21"/>
      <c r="FN47" s="21"/>
      <c r="FO47" s="21"/>
      <c r="FP47" s="21"/>
      <c r="FQ47" s="21"/>
      <c r="FR47" s="21"/>
      <c r="FS47" s="21"/>
      <c r="FT47" s="21"/>
      <c r="FU47" s="21"/>
      <c r="FV47" s="21"/>
      <c r="FW47" s="21"/>
      <c r="FX47" s="21"/>
      <c r="FY47" s="21"/>
      <c r="FZ47" s="21"/>
      <c r="GA47" s="21"/>
      <c r="GB47" s="21"/>
      <c r="GC47" s="21"/>
      <c r="GD47" s="21"/>
      <c r="GE47" s="21"/>
      <c r="GF47" s="21"/>
      <c r="GG47" s="21"/>
      <c r="GH47" s="21"/>
      <c r="GI47" s="21"/>
      <c r="GJ47" s="21"/>
      <c r="GK47" s="21"/>
      <c r="GL47" s="21"/>
      <c r="GM47" s="21"/>
      <c r="GN47" s="21"/>
      <c r="GO47" s="21"/>
      <c r="GP47" s="21"/>
      <c r="GQ47" s="21"/>
      <c r="GR47" s="21"/>
      <c r="GS47" s="21"/>
      <c r="GT47" s="21"/>
      <c r="GU47" s="21"/>
      <c r="GV47" s="21"/>
      <c r="GW47" s="21"/>
      <c r="GX47" s="21"/>
      <c r="GY47" s="21"/>
      <c r="GZ47" s="21"/>
      <c r="HA47" s="21"/>
      <c r="HB47" s="21"/>
      <c r="HC47" s="21"/>
      <c r="HD47" s="21"/>
      <c r="HE47" s="21"/>
      <c r="HF47" s="21"/>
      <c r="HG47" s="21"/>
      <c r="HH47" s="21"/>
      <c r="HI47" s="21"/>
    </row>
    <row r="48" spans="1:217" s="18" customFormat="1" hidden="1">
      <c r="A48" s="23">
        <v>4</v>
      </c>
      <c r="B48" s="24" t="s">
        <v>128</v>
      </c>
      <c r="C48" s="19" t="s">
        <v>61</v>
      </c>
      <c r="D48" s="134"/>
      <c r="E48" s="19"/>
      <c r="F48" s="19"/>
      <c r="G48" s="19"/>
      <c r="H48" s="19"/>
      <c r="I48" s="19"/>
      <c r="J48" s="19"/>
      <c r="K48" s="19"/>
      <c r="L48" s="19"/>
      <c r="M48" s="19"/>
      <c r="N48" s="19"/>
      <c r="O48" s="20"/>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c r="EQ48" s="21"/>
      <c r="ER48" s="21"/>
      <c r="ES48" s="21"/>
      <c r="ET48" s="21"/>
      <c r="EU48" s="21"/>
      <c r="EV48" s="21"/>
      <c r="EW48" s="21"/>
      <c r="EX48" s="21"/>
      <c r="EY48" s="21"/>
      <c r="EZ48" s="21"/>
      <c r="FA48" s="21"/>
      <c r="FB48" s="21"/>
      <c r="FC48" s="21"/>
      <c r="FD48" s="21"/>
      <c r="FE48" s="21"/>
      <c r="FF48" s="21"/>
      <c r="FG48" s="21"/>
      <c r="FH48" s="21"/>
      <c r="FI48" s="21"/>
      <c r="FJ48" s="21"/>
      <c r="FK48" s="21"/>
      <c r="FL48" s="21"/>
      <c r="FM48" s="21"/>
      <c r="FN48" s="21"/>
      <c r="FO48" s="21"/>
      <c r="FP48" s="21"/>
      <c r="FQ48" s="21"/>
      <c r="FR48" s="21"/>
      <c r="FS48" s="21"/>
      <c r="FT48" s="21"/>
      <c r="FU48" s="21"/>
      <c r="FV48" s="21"/>
      <c r="FW48" s="21"/>
      <c r="FX48" s="21"/>
      <c r="FY48" s="21"/>
      <c r="FZ48" s="21"/>
      <c r="GA48" s="21"/>
      <c r="GB48" s="21"/>
      <c r="GC48" s="21"/>
      <c r="GD48" s="21"/>
      <c r="GE48" s="21"/>
      <c r="GF48" s="21"/>
      <c r="GG48" s="21"/>
      <c r="GH48" s="21"/>
      <c r="GI48" s="21"/>
      <c r="GJ48" s="21"/>
      <c r="GK48" s="21"/>
      <c r="GL48" s="21"/>
      <c r="GM48" s="21"/>
      <c r="GN48" s="21"/>
      <c r="GO48" s="21"/>
      <c r="GP48" s="21"/>
      <c r="GQ48" s="21"/>
      <c r="GR48" s="21"/>
      <c r="GS48" s="21"/>
      <c r="GT48" s="21"/>
      <c r="GU48" s="21"/>
      <c r="GV48" s="21"/>
      <c r="GW48" s="21"/>
      <c r="GX48" s="21"/>
      <c r="GY48" s="21"/>
      <c r="GZ48" s="21"/>
      <c r="HA48" s="21"/>
      <c r="HB48" s="21"/>
      <c r="HC48" s="21"/>
      <c r="HD48" s="21"/>
      <c r="HE48" s="21"/>
      <c r="HF48" s="21"/>
      <c r="HG48" s="21"/>
      <c r="HH48" s="21"/>
      <c r="HI48" s="21"/>
    </row>
    <row r="49" spans="1:217" s="18" customFormat="1" hidden="1">
      <c r="A49" s="23">
        <v>5</v>
      </c>
      <c r="B49" s="24" t="s">
        <v>129</v>
      </c>
      <c r="C49" s="19" t="s">
        <v>14</v>
      </c>
      <c r="D49" s="134"/>
      <c r="E49" s="19"/>
      <c r="F49" s="19"/>
      <c r="G49" s="19"/>
      <c r="H49" s="19"/>
      <c r="I49" s="19"/>
      <c r="J49" s="19"/>
      <c r="K49" s="19"/>
      <c r="L49" s="19"/>
      <c r="M49" s="19"/>
      <c r="N49" s="19"/>
      <c r="O49" s="20"/>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c r="EN49" s="21"/>
      <c r="EO49" s="21"/>
      <c r="EP49" s="21"/>
      <c r="EQ49" s="21"/>
      <c r="ER49" s="21"/>
      <c r="ES49" s="21"/>
      <c r="ET49" s="21"/>
      <c r="EU49" s="21"/>
      <c r="EV49" s="21"/>
      <c r="EW49" s="21"/>
      <c r="EX49" s="21"/>
      <c r="EY49" s="21"/>
      <c r="EZ49" s="21"/>
      <c r="FA49" s="21"/>
      <c r="FB49" s="21"/>
      <c r="FC49" s="21"/>
      <c r="FD49" s="21"/>
      <c r="FE49" s="21"/>
      <c r="FF49" s="21"/>
      <c r="FG49" s="21"/>
      <c r="FH49" s="21"/>
      <c r="FI49" s="21"/>
      <c r="FJ49" s="21"/>
      <c r="FK49" s="21"/>
      <c r="FL49" s="21"/>
      <c r="FM49" s="21"/>
      <c r="FN49" s="21"/>
      <c r="FO49" s="21"/>
      <c r="FP49" s="21"/>
      <c r="FQ49" s="21"/>
      <c r="FR49" s="21"/>
      <c r="FS49" s="21"/>
      <c r="FT49" s="21"/>
      <c r="FU49" s="21"/>
      <c r="FV49" s="21"/>
      <c r="FW49" s="21"/>
      <c r="FX49" s="21"/>
      <c r="FY49" s="21"/>
      <c r="FZ49" s="21"/>
      <c r="GA49" s="21"/>
      <c r="GB49" s="21"/>
      <c r="GC49" s="21"/>
      <c r="GD49" s="21"/>
      <c r="GE49" s="21"/>
      <c r="GF49" s="21"/>
      <c r="GG49" s="21"/>
      <c r="GH49" s="21"/>
      <c r="GI49" s="21"/>
      <c r="GJ49" s="21"/>
      <c r="GK49" s="21"/>
      <c r="GL49" s="21"/>
      <c r="GM49" s="21"/>
      <c r="GN49" s="21"/>
      <c r="GO49" s="21"/>
      <c r="GP49" s="21"/>
      <c r="GQ49" s="21"/>
      <c r="GR49" s="21"/>
      <c r="GS49" s="21"/>
      <c r="GT49" s="21"/>
      <c r="GU49" s="21"/>
      <c r="GV49" s="21"/>
      <c r="GW49" s="21"/>
      <c r="GX49" s="21"/>
      <c r="GY49" s="21"/>
      <c r="GZ49" s="21"/>
      <c r="HA49" s="21"/>
      <c r="HB49" s="21"/>
      <c r="HC49" s="21"/>
      <c r="HD49" s="21"/>
      <c r="HE49" s="21"/>
      <c r="HF49" s="21"/>
      <c r="HG49" s="21"/>
      <c r="HH49" s="21"/>
      <c r="HI49" s="21"/>
    </row>
    <row r="50" spans="1:217" s="18" customFormat="1" hidden="1">
      <c r="A50" s="23">
        <v>6</v>
      </c>
      <c r="B50" s="24" t="s">
        <v>130</v>
      </c>
      <c r="C50" s="19" t="s">
        <v>12</v>
      </c>
      <c r="D50" s="134"/>
      <c r="E50" s="19"/>
      <c r="F50" s="19"/>
      <c r="G50" s="19"/>
      <c r="H50" s="19"/>
      <c r="I50" s="19"/>
      <c r="J50" s="19"/>
      <c r="K50" s="19"/>
      <c r="L50" s="19"/>
      <c r="M50" s="19"/>
      <c r="N50" s="19"/>
      <c r="O50" s="20"/>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21"/>
      <c r="EB50" s="21"/>
      <c r="EC50" s="21"/>
      <c r="ED50" s="21"/>
      <c r="EE50" s="21"/>
      <c r="EF50" s="21"/>
      <c r="EG50" s="21"/>
      <c r="EH50" s="21"/>
      <c r="EI50" s="21"/>
      <c r="EJ50" s="21"/>
      <c r="EK50" s="21"/>
      <c r="EL50" s="21"/>
      <c r="EM50" s="21"/>
      <c r="EN50" s="21"/>
      <c r="EO50" s="21"/>
      <c r="EP50" s="21"/>
      <c r="EQ50" s="21"/>
      <c r="ER50" s="21"/>
      <c r="ES50" s="21"/>
      <c r="ET50" s="21"/>
      <c r="EU50" s="21"/>
      <c r="EV50" s="21"/>
      <c r="EW50" s="21"/>
      <c r="EX50" s="21"/>
      <c r="EY50" s="21"/>
      <c r="EZ50" s="21"/>
      <c r="FA50" s="21"/>
      <c r="FB50" s="21"/>
      <c r="FC50" s="21"/>
      <c r="FD50" s="21"/>
      <c r="FE50" s="21"/>
      <c r="FF50" s="21"/>
      <c r="FG50" s="21"/>
      <c r="FH50" s="21"/>
      <c r="FI50" s="21"/>
      <c r="FJ50" s="21"/>
      <c r="FK50" s="21"/>
      <c r="FL50" s="21"/>
      <c r="FM50" s="21"/>
      <c r="FN50" s="21"/>
      <c r="FO50" s="21"/>
      <c r="FP50" s="21"/>
      <c r="FQ50" s="21"/>
      <c r="FR50" s="21"/>
      <c r="FS50" s="21"/>
      <c r="FT50" s="21"/>
      <c r="FU50" s="21"/>
      <c r="FV50" s="21"/>
      <c r="FW50" s="21"/>
      <c r="FX50" s="21"/>
      <c r="FY50" s="21"/>
      <c r="FZ50" s="21"/>
      <c r="GA50" s="21"/>
      <c r="GB50" s="21"/>
      <c r="GC50" s="21"/>
      <c r="GD50" s="21"/>
      <c r="GE50" s="21"/>
      <c r="GF50" s="21"/>
      <c r="GG50" s="21"/>
      <c r="GH50" s="21"/>
      <c r="GI50" s="21"/>
      <c r="GJ50" s="21"/>
      <c r="GK50" s="21"/>
      <c r="GL50" s="21"/>
      <c r="GM50" s="21"/>
      <c r="GN50" s="21"/>
      <c r="GO50" s="21"/>
      <c r="GP50" s="21"/>
      <c r="GQ50" s="21"/>
      <c r="GR50" s="21"/>
      <c r="GS50" s="21"/>
      <c r="GT50" s="21"/>
      <c r="GU50" s="21"/>
      <c r="GV50" s="21"/>
      <c r="GW50" s="21"/>
      <c r="GX50" s="21"/>
      <c r="GY50" s="21"/>
      <c r="GZ50" s="21"/>
      <c r="HA50" s="21"/>
      <c r="HB50" s="21"/>
      <c r="HC50" s="21"/>
      <c r="HD50" s="21"/>
      <c r="HE50" s="21"/>
      <c r="HF50" s="21"/>
      <c r="HG50" s="21"/>
      <c r="HH50" s="21"/>
      <c r="HI50" s="21"/>
    </row>
    <row r="51" spans="1:217" s="18" customFormat="1" hidden="1">
      <c r="A51" s="23">
        <v>7</v>
      </c>
      <c r="B51" s="24" t="s">
        <v>131</v>
      </c>
      <c r="C51" s="19" t="s">
        <v>14</v>
      </c>
      <c r="D51" s="134"/>
      <c r="E51" s="19"/>
      <c r="F51" s="19"/>
      <c r="G51" s="19"/>
      <c r="H51" s="19"/>
      <c r="I51" s="19"/>
      <c r="J51" s="19"/>
      <c r="K51" s="19"/>
      <c r="L51" s="19"/>
      <c r="M51" s="19"/>
      <c r="N51" s="19"/>
      <c r="O51" s="20"/>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c r="FK51" s="21"/>
      <c r="FL51" s="21"/>
      <c r="FM51" s="21"/>
      <c r="FN51" s="21"/>
      <c r="FO51" s="21"/>
      <c r="FP51" s="21"/>
      <c r="FQ51" s="21"/>
      <c r="FR51" s="21"/>
      <c r="FS51" s="21"/>
      <c r="FT51" s="21"/>
      <c r="FU51" s="21"/>
      <c r="FV51" s="21"/>
      <c r="FW51" s="21"/>
      <c r="FX51" s="21"/>
      <c r="FY51" s="21"/>
      <c r="FZ51" s="21"/>
      <c r="GA51" s="21"/>
      <c r="GB51" s="21"/>
      <c r="GC51" s="21"/>
      <c r="GD51" s="21"/>
      <c r="GE51" s="21"/>
      <c r="GF51" s="21"/>
      <c r="GG51" s="21"/>
      <c r="GH51" s="21"/>
      <c r="GI51" s="21"/>
      <c r="GJ51" s="21"/>
      <c r="GK51" s="21"/>
      <c r="GL51" s="21"/>
      <c r="GM51" s="21"/>
      <c r="GN51" s="21"/>
      <c r="GO51" s="21"/>
      <c r="GP51" s="21"/>
      <c r="GQ51" s="21"/>
      <c r="GR51" s="21"/>
      <c r="GS51" s="21"/>
      <c r="GT51" s="21"/>
      <c r="GU51" s="21"/>
      <c r="GV51" s="21"/>
      <c r="GW51" s="21"/>
      <c r="GX51" s="21"/>
      <c r="GY51" s="21"/>
      <c r="GZ51" s="21"/>
      <c r="HA51" s="21"/>
      <c r="HB51" s="21"/>
      <c r="HC51" s="21"/>
      <c r="HD51" s="21"/>
      <c r="HE51" s="21"/>
      <c r="HF51" s="21"/>
      <c r="HG51" s="21"/>
      <c r="HH51" s="21"/>
      <c r="HI51" s="21"/>
    </row>
    <row r="52" spans="1:217" s="18" customFormat="1" hidden="1">
      <c r="A52" s="23">
        <v>8</v>
      </c>
      <c r="B52" s="24" t="s">
        <v>132</v>
      </c>
      <c r="C52" s="19" t="s">
        <v>33</v>
      </c>
      <c r="D52" s="134"/>
      <c r="E52" s="19"/>
      <c r="F52" s="19"/>
      <c r="G52" s="19"/>
      <c r="H52" s="19"/>
      <c r="I52" s="19"/>
      <c r="J52" s="19"/>
      <c r="K52" s="19"/>
      <c r="L52" s="19"/>
      <c r="M52" s="19"/>
      <c r="N52" s="19"/>
      <c r="O52" s="20"/>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c r="FX52" s="21"/>
      <c r="FY52" s="21"/>
      <c r="FZ52" s="21"/>
      <c r="GA52" s="21"/>
      <c r="GB52" s="21"/>
      <c r="GC52" s="21"/>
      <c r="GD52" s="21"/>
      <c r="GE52" s="21"/>
      <c r="GF52" s="21"/>
      <c r="GG52" s="21"/>
      <c r="GH52" s="21"/>
      <c r="GI52" s="21"/>
      <c r="GJ52" s="21"/>
      <c r="GK52" s="21"/>
      <c r="GL52" s="21"/>
      <c r="GM52" s="21"/>
      <c r="GN52" s="21"/>
      <c r="GO52" s="21"/>
      <c r="GP52" s="21"/>
      <c r="GQ52" s="21"/>
      <c r="GR52" s="21"/>
      <c r="GS52" s="21"/>
      <c r="GT52" s="21"/>
      <c r="GU52" s="21"/>
      <c r="GV52" s="21"/>
      <c r="GW52" s="21"/>
      <c r="GX52" s="21"/>
      <c r="GY52" s="21"/>
      <c r="GZ52" s="21"/>
      <c r="HA52" s="21"/>
      <c r="HB52" s="21"/>
      <c r="HC52" s="21"/>
      <c r="HD52" s="21"/>
      <c r="HE52" s="21"/>
      <c r="HF52" s="21"/>
      <c r="HG52" s="21"/>
      <c r="HH52" s="21"/>
      <c r="HI52" s="21"/>
    </row>
    <row r="53" spans="1:217" s="18" customFormat="1" hidden="1">
      <c r="A53" s="23">
        <v>9</v>
      </c>
      <c r="B53" s="24" t="s">
        <v>133</v>
      </c>
      <c r="C53" s="19" t="s">
        <v>134</v>
      </c>
      <c r="D53" s="134"/>
      <c r="E53" s="19"/>
      <c r="F53" s="19"/>
      <c r="G53" s="19"/>
      <c r="H53" s="19"/>
      <c r="I53" s="19"/>
      <c r="J53" s="19"/>
      <c r="K53" s="19"/>
      <c r="L53" s="19"/>
      <c r="M53" s="19"/>
      <c r="N53" s="19"/>
      <c r="O53" s="20"/>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c r="FM53" s="21"/>
      <c r="FN53" s="21"/>
      <c r="FO53" s="21"/>
      <c r="FP53" s="21"/>
      <c r="FQ53" s="21"/>
      <c r="FR53" s="21"/>
      <c r="FS53" s="21"/>
      <c r="FT53" s="21"/>
      <c r="FU53" s="21"/>
      <c r="FV53" s="21"/>
      <c r="FW53" s="21"/>
      <c r="FX53" s="21"/>
      <c r="FY53" s="21"/>
      <c r="FZ53" s="21"/>
      <c r="GA53" s="21"/>
      <c r="GB53" s="21"/>
      <c r="GC53" s="21"/>
      <c r="GD53" s="21"/>
      <c r="GE53" s="21"/>
      <c r="GF53" s="21"/>
      <c r="GG53" s="21"/>
      <c r="GH53" s="21"/>
      <c r="GI53" s="21"/>
      <c r="GJ53" s="21"/>
      <c r="GK53" s="21"/>
      <c r="GL53" s="21"/>
      <c r="GM53" s="21"/>
      <c r="GN53" s="21"/>
      <c r="GO53" s="21"/>
      <c r="GP53" s="21"/>
      <c r="GQ53" s="21"/>
      <c r="GR53" s="21"/>
      <c r="GS53" s="21"/>
      <c r="GT53" s="21"/>
      <c r="GU53" s="21"/>
      <c r="GV53" s="21"/>
      <c r="GW53" s="21"/>
      <c r="GX53" s="21"/>
      <c r="GY53" s="21"/>
      <c r="GZ53" s="21"/>
      <c r="HA53" s="21"/>
      <c r="HB53" s="21"/>
      <c r="HC53" s="21"/>
      <c r="HD53" s="21"/>
      <c r="HE53" s="21"/>
      <c r="HF53" s="21"/>
      <c r="HG53" s="21"/>
      <c r="HH53" s="21"/>
      <c r="HI53" s="21"/>
    </row>
    <row r="54" spans="1:217" s="18" customFormat="1" hidden="1">
      <c r="A54" s="23">
        <v>10</v>
      </c>
      <c r="B54" s="24" t="s">
        <v>92</v>
      </c>
      <c r="C54" s="19" t="s">
        <v>12</v>
      </c>
      <c r="D54" s="134"/>
      <c r="E54" s="19"/>
      <c r="F54" s="19"/>
      <c r="G54" s="19"/>
      <c r="H54" s="19"/>
      <c r="I54" s="19"/>
      <c r="J54" s="19"/>
      <c r="K54" s="19"/>
      <c r="L54" s="19"/>
      <c r="M54" s="19"/>
      <c r="N54" s="19"/>
      <c r="O54" s="20"/>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row>
    <row r="55" spans="1:217" s="18" customFormat="1" ht="31.5" hidden="1">
      <c r="A55" s="23">
        <v>11</v>
      </c>
      <c r="B55" s="24" t="s">
        <v>135</v>
      </c>
      <c r="C55" s="19" t="s">
        <v>12</v>
      </c>
      <c r="D55" s="134"/>
      <c r="E55" s="19"/>
      <c r="F55" s="19"/>
      <c r="G55" s="19"/>
      <c r="H55" s="19"/>
      <c r="I55" s="19"/>
      <c r="J55" s="19"/>
      <c r="K55" s="19"/>
      <c r="L55" s="19"/>
      <c r="M55" s="19"/>
      <c r="N55" s="19"/>
      <c r="O55" s="20"/>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c r="FM55" s="21"/>
      <c r="FN55" s="21"/>
      <c r="FO55" s="21"/>
      <c r="FP55" s="21"/>
      <c r="FQ55" s="21"/>
      <c r="FR55" s="21"/>
      <c r="FS55" s="21"/>
      <c r="FT55" s="21"/>
      <c r="FU55" s="21"/>
      <c r="FV55" s="21"/>
      <c r="FW55" s="21"/>
      <c r="FX55" s="21"/>
      <c r="FY55" s="21"/>
      <c r="FZ55" s="21"/>
      <c r="GA55" s="21"/>
      <c r="GB55" s="21"/>
      <c r="GC55" s="21"/>
      <c r="GD55" s="21"/>
      <c r="GE55" s="21"/>
      <c r="GF55" s="21"/>
      <c r="GG55" s="21"/>
      <c r="GH55" s="21"/>
      <c r="GI55" s="21"/>
      <c r="GJ55" s="21"/>
      <c r="GK55" s="21"/>
      <c r="GL55" s="21"/>
      <c r="GM55" s="21"/>
      <c r="GN55" s="21"/>
      <c r="GO55" s="21"/>
      <c r="GP55" s="21"/>
      <c r="GQ55" s="21"/>
      <c r="GR55" s="21"/>
      <c r="GS55" s="21"/>
      <c r="GT55" s="21"/>
      <c r="GU55" s="21"/>
      <c r="GV55" s="21"/>
      <c r="GW55" s="21"/>
      <c r="GX55" s="21"/>
      <c r="GY55" s="21"/>
      <c r="GZ55" s="21"/>
      <c r="HA55" s="21"/>
      <c r="HB55" s="21"/>
      <c r="HC55" s="21"/>
      <c r="HD55" s="21"/>
      <c r="HE55" s="21"/>
      <c r="HF55" s="21"/>
      <c r="HG55" s="21"/>
      <c r="HH55" s="21"/>
      <c r="HI55" s="21"/>
    </row>
    <row r="56" spans="1:217" s="18" customFormat="1" hidden="1">
      <c r="A56" s="13" t="s">
        <v>136</v>
      </c>
      <c r="B56" s="14" t="s">
        <v>137</v>
      </c>
      <c r="C56" s="15" t="s">
        <v>12</v>
      </c>
      <c r="D56" s="135"/>
      <c r="E56" s="15"/>
      <c r="F56" s="15"/>
      <c r="G56" s="15"/>
      <c r="H56" s="15"/>
      <c r="I56" s="15"/>
      <c r="J56" s="15"/>
      <c r="K56" s="15"/>
      <c r="L56" s="15"/>
      <c r="M56" s="15"/>
      <c r="N56" s="15"/>
      <c r="O56" s="16"/>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row>
    <row r="57" spans="1:217" s="18" customFormat="1" hidden="1">
      <c r="A57" s="13"/>
      <c r="B57" s="14"/>
      <c r="C57" s="15"/>
      <c r="D57" s="135"/>
      <c r="E57" s="15"/>
      <c r="F57" s="15"/>
      <c r="G57" s="15"/>
      <c r="H57" s="15"/>
      <c r="I57" s="15"/>
      <c r="J57" s="15"/>
      <c r="K57" s="15"/>
      <c r="L57" s="15"/>
      <c r="M57" s="15"/>
      <c r="N57" s="15"/>
      <c r="O57" s="16"/>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row>
    <row r="58" spans="1:217" hidden="1">
      <c r="A58" s="42"/>
      <c r="B58" s="43"/>
      <c r="C58" s="44"/>
      <c r="D58" s="136"/>
      <c r="E58" s="44"/>
      <c r="F58" s="44"/>
      <c r="G58" s="44"/>
      <c r="H58" s="44"/>
      <c r="I58" s="44"/>
      <c r="J58" s="44"/>
      <c r="K58" s="44"/>
      <c r="L58" s="44"/>
      <c r="M58" s="44"/>
      <c r="N58" s="44"/>
      <c r="O58" s="45"/>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c r="BC58" s="46"/>
      <c r="BD58" s="46"/>
      <c r="BE58" s="46"/>
      <c r="BF58" s="46"/>
      <c r="BG58" s="46"/>
      <c r="BH58" s="46"/>
      <c r="BI58" s="46"/>
      <c r="BJ58" s="46"/>
      <c r="BK58" s="46"/>
      <c r="BL58" s="46"/>
      <c r="BM58" s="46"/>
      <c r="BN58" s="46"/>
      <c r="BO58" s="46"/>
      <c r="BP58" s="46"/>
      <c r="BQ58" s="46"/>
      <c r="BR58" s="46"/>
      <c r="BS58" s="46"/>
      <c r="BT58" s="46"/>
      <c r="BU58" s="46"/>
      <c r="BV58" s="46"/>
      <c r="BW58" s="46"/>
      <c r="BX58" s="46"/>
      <c r="BY58" s="46"/>
      <c r="BZ58" s="46"/>
      <c r="CA58" s="46"/>
      <c r="CB58" s="46"/>
      <c r="CC58" s="46"/>
      <c r="CD58" s="46"/>
      <c r="CE58" s="46"/>
      <c r="CF58" s="46"/>
      <c r="CG58" s="46"/>
      <c r="CH58" s="46"/>
      <c r="CI58" s="46"/>
      <c r="CJ58" s="46"/>
      <c r="CK58" s="46"/>
      <c r="CL58" s="46"/>
      <c r="CM58" s="46"/>
      <c r="CN58" s="46"/>
      <c r="CO58" s="46"/>
      <c r="CP58" s="46"/>
      <c r="CQ58" s="46"/>
      <c r="CR58" s="46"/>
      <c r="CS58" s="46"/>
      <c r="CT58" s="46"/>
      <c r="CU58" s="46"/>
      <c r="CV58" s="46"/>
      <c r="CW58" s="46"/>
      <c r="CX58" s="46"/>
      <c r="CY58" s="46"/>
      <c r="CZ58" s="46"/>
      <c r="DA58" s="46"/>
      <c r="DB58" s="46"/>
      <c r="DC58" s="46"/>
      <c r="DD58" s="46"/>
      <c r="DE58" s="46"/>
      <c r="DF58" s="46"/>
      <c r="DG58" s="46"/>
      <c r="DH58" s="46"/>
      <c r="DI58" s="46"/>
      <c r="DJ58" s="46"/>
      <c r="DK58" s="46"/>
      <c r="DL58" s="46"/>
      <c r="DM58" s="46"/>
      <c r="DN58" s="46"/>
      <c r="DO58" s="46"/>
      <c r="DP58" s="46"/>
      <c r="DQ58" s="46"/>
      <c r="DR58" s="46"/>
      <c r="DS58" s="46"/>
      <c r="DT58" s="46"/>
      <c r="DU58" s="46"/>
      <c r="DV58" s="46"/>
      <c r="DW58" s="46"/>
      <c r="DX58" s="46"/>
      <c r="DY58" s="46"/>
      <c r="DZ58" s="46"/>
      <c r="EA58" s="46"/>
      <c r="EB58" s="46"/>
      <c r="EC58" s="46"/>
      <c r="ED58" s="46"/>
      <c r="EE58" s="46"/>
      <c r="EF58" s="46"/>
      <c r="EG58" s="46"/>
      <c r="EH58" s="46"/>
      <c r="EI58" s="46"/>
      <c r="EJ58" s="46"/>
      <c r="EK58" s="46"/>
      <c r="EL58" s="46"/>
      <c r="EM58" s="46"/>
      <c r="EN58" s="46"/>
      <c r="EO58" s="46"/>
      <c r="EP58" s="46"/>
      <c r="EQ58" s="46"/>
      <c r="ER58" s="46"/>
      <c r="ES58" s="46"/>
      <c r="ET58" s="46"/>
      <c r="EU58" s="46"/>
      <c r="EV58" s="46"/>
      <c r="EW58" s="46"/>
      <c r="EX58" s="46"/>
      <c r="EY58" s="46"/>
      <c r="EZ58" s="46"/>
      <c r="FA58" s="46"/>
      <c r="FB58" s="46"/>
      <c r="FC58" s="46"/>
      <c r="FD58" s="46"/>
      <c r="FE58" s="46"/>
      <c r="FF58" s="46"/>
      <c r="FG58" s="46"/>
      <c r="FH58" s="46"/>
      <c r="FI58" s="46"/>
      <c r="FJ58" s="46"/>
      <c r="FK58" s="46"/>
      <c r="FL58" s="46"/>
      <c r="FM58" s="46"/>
      <c r="FN58" s="46"/>
      <c r="FO58" s="46"/>
      <c r="FP58" s="46"/>
      <c r="FQ58" s="46"/>
      <c r="FR58" s="46"/>
      <c r="FS58" s="46"/>
      <c r="FT58" s="46"/>
      <c r="FU58" s="46"/>
      <c r="FV58" s="46"/>
      <c r="FW58" s="46"/>
      <c r="FX58" s="46"/>
      <c r="FY58" s="46"/>
      <c r="FZ58" s="46"/>
      <c r="GA58" s="46"/>
      <c r="GB58" s="46"/>
      <c r="GC58" s="46"/>
      <c r="GD58" s="46"/>
      <c r="GE58" s="46"/>
      <c r="GF58" s="46"/>
      <c r="GG58" s="46"/>
      <c r="GH58" s="46"/>
      <c r="GI58" s="46"/>
      <c r="GJ58" s="46"/>
      <c r="GK58" s="46"/>
      <c r="GL58" s="46"/>
      <c r="GM58" s="46"/>
      <c r="GN58" s="46"/>
      <c r="GO58" s="46"/>
      <c r="GP58" s="46"/>
      <c r="GQ58" s="46"/>
      <c r="GR58" s="46"/>
      <c r="GS58" s="46"/>
      <c r="GT58" s="46"/>
      <c r="GU58" s="46"/>
      <c r="GV58" s="46"/>
      <c r="GW58" s="46"/>
      <c r="GX58" s="46"/>
      <c r="GY58" s="46"/>
      <c r="GZ58" s="46"/>
      <c r="HA58" s="46"/>
      <c r="HB58" s="46"/>
      <c r="HC58" s="46"/>
      <c r="HD58" s="46"/>
      <c r="HE58" s="46"/>
      <c r="HF58" s="46"/>
      <c r="HG58" s="46"/>
      <c r="HH58" s="46"/>
      <c r="HI58" s="46"/>
    </row>
    <row r="59" spans="1:217" hidden="1">
      <c r="A59" s="42"/>
      <c r="B59" s="43"/>
      <c r="C59" s="44"/>
      <c r="D59" s="136"/>
      <c r="E59" s="44"/>
      <c r="F59" s="44"/>
      <c r="G59" s="44"/>
      <c r="H59" s="44"/>
      <c r="I59" s="44"/>
      <c r="J59" s="44"/>
      <c r="K59" s="44"/>
      <c r="L59" s="44"/>
      <c r="M59" s="44"/>
      <c r="N59" s="44"/>
      <c r="O59" s="45"/>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c r="BD59" s="46"/>
      <c r="BE59" s="46"/>
      <c r="BF59" s="46"/>
      <c r="BG59" s="46"/>
      <c r="BH59" s="46"/>
      <c r="BI59" s="46"/>
      <c r="BJ59" s="46"/>
      <c r="BK59" s="46"/>
      <c r="BL59" s="46"/>
      <c r="BM59" s="46"/>
      <c r="BN59" s="46"/>
      <c r="BO59" s="46"/>
      <c r="BP59" s="46"/>
      <c r="BQ59" s="46"/>
      <c r="BR59" s="46"/>
      <c r="BS59" s="46"/>
      <c r="BT59" s="46"/>
      <c r="BU59" s="46"/>
      <c r="BV59" s="46"/>
      <c r="BW59" s="46"/>
      <c r="BX59" s="46"/>
      <c r="BY59" s="46"/>
      <c r="BZ59" s="46"/>
      <c r="CA59" s="46"/>
      <c r="CB59" s="46"/>
      <c r="CC59" s="46"/>
      <c r="CD59" s="46"/>
      <c r="CE59" s="46"/>
      <c r="CF59" s="46"/>
      <c r="CG59" s="46"/>
      <c r="CH59" s="46"/>
      <c r="CI59" s="46"/>
      <c r="CJ59" s="46"/>
      <c r="CK59" s="46"/>
      <c r="CL59" s="46"/>
      <c r="CM59" s="46"/>
      <c r="CN59" s="46"/>
      <c r="CO59" s="46"/>
      <c r="CP59" s="46"/>
      <c r="CQ59" s="46"/>
      <c r="CR59" s="46"/>
      <c r="CS59" s="46"/>
      <c r="CT59" s="46"/>
      <c r="CU59" s="46"/>
      <c r="CV59" s="46"/>
      <c r="CW59" s="46"/>
      <c r="CX59" s="46"/>
      <c r="CY59" s="46"/>
      <c r="CZ59" s="46"/>
      <c r="DA59" s="46"/>
      <c r="DB59" s="46"/>
      <c r="DC59" s="46"/>
      <c r="DD59" s="46"/>
      <c r="DE59" s="46"/>
      <c r="DF59" s="46"/>
      <c r="DG59" s="46"/>
      <c r="DH59" s="46"/>
      <c r="DI59" s="46"/>
      <c r="DJ59" s="46"/>
      <c r="DK59" s="46"/>
      <c r="DL59" s="46"/>
      <c r="DM59" s="46"/>
      <c r="DN59" s="46"/>
      <c r="DO59" s="46"/>
      <c r="DP59" s="46"/>
      <c r="DQ59" s="46"/>
      <c r="DR59" s="46"/>
      <c r="DS59" s="46"/>
      <c r="DT59" s="46"/>
      <c r="DU59" s="46"/>
      <c r="DV59" s="46"/>
      <c r="DW59" s="46"/>
      <c r="DX59" s="46"/>
      <c r="DY59" s="46"/>
      <c r="DZ59" s="46"/>
      <c r="EA59" s="46"/>
      <c r="EB59" s="46"/>
      <c r="EC59" s="46"/>
      <c r="ED59" s="46"/>
      <c r="EE59" s="46"/>
      <c r="EF59" s="46"/>
      <c r="EG59" s="46"/>
      <c r="EH59" s="46"/>
      <c r="EI59" s="46"/>
      <c r="EJ59" s="46"/>
      <c r="EK59" s="46"/>
      <c r="EL59" s="46"/>
      <c r="EM59" s="46"/>
      <c r="EN59" s="46"/>
      <c r="EO59" s="46"/>
      <c r="EP59" s="46"/>
      <c r="EQ59" s="46"/>
      <c r="ER59" s="46"/>
      <c r="ES59" s="46"/>
      <c r="ET59" s="46"/>
      <c r="EU59" s="46"/>
      <c r="EV59" s="46"/>
      <c r="EW59" s="46"/>
      <c r="EX59" s="46"/>
      <c r="EY59" s="46"/>
      <c r="EZ59" s="46"/>
      <c r="FA59" s="46"/>
      <c r="FB59" s="46"/>
      <c r="FC59" s="46"/>
      <c r="FD59" s="46"/>
      <c r="FE59" s="46"/>
      <c r="FF59" s="46"/>
      <c r="FG59" s="46"/>
      <c r="FH59" s="46"/>
      <c r="FI59" s="46"/>
      <c r="FJ59" s="46"/>
      <c r="FK59" s="46"/>
      <c r="FL59" s="46"/>
      <c r="FM59" s="46"/>
      <c r="FN59" s="46"/>
      <c r="FO59" s="46"/>
      <c r="FP59" s="46"/>
      <c r="FQ59" s="46"/>
      <c r="FR59" s="46"/>
      <c r="FS59" s="46"/>
      <c r="FT59" s="46"/>
      <c r="FU59" s="46"/>
      <c r="FV59" s="46"/>
      <c r="FW59" s="46"/>
      <c r="FX59" s="46"/>
      <c r="FY59" s="46"/>
      <c r="FZ59" s="46"/>
      <c r="GA59" s="46"/>
      <c r="GB59" s="46"/>
      <c r="GC59" s="46"/>
      <c r="GD59" s="46"/>
      <c r="GE59" s="46"/>
      <c r="GF59" s="46"/>
      <c r="GG59" s="46"/>
      <c r="GH59" s="46"/>
      <c r="GI59" s="46"/>
      <c r="GJ59" s="46"/>
      <c r="GK59" s="46"/>
      <c r="GL59" s="46"/>
      <c r="GM59" s="46"/>
      <c r="GN59" s="46"/>
      <c r="GO59" s="46"/>
      <c r="GP59" s="46"/>
      <c r="GQ59" s="46"/>
      <c r="GR59" s="46"/>
      <c r="GS59" s="46"/>
      <c r="GT59" s="46"/>
      <c r="GU59" s="46"/>
      <c r="GV59" s="46"/>
      <c r="GW59" s="46"/>
      <c r="GX59" s="46"/>
      <c r="GY59" s="46"/>
      <c r="GZ59" s="46"/>
      <c r="HA59" s="46"/>
      <c r="HB59" s="46"/>
      <c r="HC59" s="46"/>
      <c r="HD59" s="46"/>
      <c r="HE59" s="46"/>
      <c r="HF59" s="46"/>
      <c r="HG59" s="46"/>
      <c r="HH59" s="46"/>
      <c r="HI59" s="46"/>
    </row>
    <row r="61" spans="1:217" s="1" customFormat="1" ht="20.25">
      <c r="A61" s="172" t="s">
        <v>307</v>
      </c>
      <c r="B61" s="172"/>
      <c r="C61" s="172"/>
      <c r="D61" s="172"/>
      <c r="E61" s="172"/>
      <c r="F61" s="172"/>
      <c r="G61" s="172"/>
      <c r="H61" s="172"/>
      <c r="I61" s="172"/>
      <c r="J61" s="172"/>
      <c r="K61" s="172"/>
      <c r="L61" s="172"/>
      <c r="M61" s="172"/>
      <c r="N61" s="172"/>
      <c r="O61" s="172"/>
    </row>
    <row r="63" spans="1:217" ht="15.75" customHeight="1">
      <c r="A63" s="173" t="s">
        <v>0</v>
      </c>
      <c r="B63" s="174" t="s">
        <v>1</v>
      </c>
      <c r="C63" s="175" t="s">
        <v>2</v>
      </c>
      <c r="D63" s="176" t="s">
        <v>138</v>
      </c>
      <c r="E63" s="169" t="s">
        <v>309</v>
      </c>
      <c r="F63" s="169" t="s">
        <v>308</v>
      </c>
      <c r="G63" s="169" t="s">
        <v>280</v>
      </c>
      <c r="H63" s="169" t="s">
        <v>146</v>
      </c>
      <c r="I63" s="169" t="s">
        <v>172</v>
      </c>
      <c r="J63" s="169" t="s">
        <v>173</v>
      </c>
      <c r="K63" s="169" t="s">
        <v>174</v>
      </c>
      <c r="L63" s="169" t="s">
        <v>175</v>
      </c>
      <c r="M63" s="169" t="s">
        <v>176</v>
      </c>
      <c r="N63" s="169" t="s">
        <v>147</v>
      </c>
      <c r="O63" s="171" t="s">
        <v>7</v>
      </c>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2"/>
      <c r="CT63" s="12"/>
      <c r="CU63" s="12"/>
      <c r="CV63" s="12"/>
      <c r="CW63" s="12"/>
      <c r="CX63" s="12"/>
      <c r="CY63" s="12"/>
      <c r="CZ63" s="12"/>
      <c r="DA63" s="12"/>
      <c r="DB63" s="12"/>
      <c r="DC63" s="12"/>
      <c r="DD63" s="12"/>
      <c r="DE63" s="12"/>
      <c r="DF63" s="12"/>
      <c r="DG63" s="12"/>
      <c r="DH63" s="12"/>
      <c r="DI63" s="12"/>
      <c r="DJ63" s="12"/>
      <c r="DK63" s="12"/>
      <c r="DL63" s="12"/>
      <c r="DM63" s="12"/>
      <c r="DN63" s="12"/>
      <c r="DO63" s="12"/>
      <c r="DP63" s="12"/>
      <c r="DQ63" s="12"/>
      <c r="DR63" s="12"/>
      <c r="DS63" s="12"/>
      <c r="DT63" s="12"/>
      <c r="DU63" s="12"/>
      <c r="DV63" s="12"/>
      <c r="DW63" s="12"/>
      <c r="DX63" s="12"/>
      <c r="DY63" s="12"/>
      <c r="DZ63" s="12"/>
      <c r="EA63" s="12"/>
      <c r="EB63" s="12"/>
      <c r="EC63" s="12"/>
      <c r="ED63" s="12"/>
      <c r="EE63" s="12"/>
      <c r="EF63" s="12"/>
      <c r="EG63" s="12"/>
      <c r="EH63" s="12"/>
      <c r="EI63" s="12"/>
      <c r="EJ63" s="12"/>
      <c r="EK63" s="12"/>
      <c r="EL63" s="12"/>
      <c r="EM63" s="12"/>
      <c r="EN63" s="12"/>
      <c r="EO63" s="12"/>
      <c r="EP63" s="12"/>
      <c r="EQ63" s="12"/>
      <c r="ER63" s="12"/>
      <c r="ES63" s="12"/>
      <c r="ET63" s="12"/>
      <c r="EU63" s="12"/>
      <c r="EV63" s="12"/>
      <c r="EW63" s="12"/>
      <c r="EX63" s="12"/>
      <c r="EY63" s="12"/>
      <c r="EZ63" s="12"/>
      <c r="FA63" s="12"/>
      <c r="FB63" s="12"/>
      <c r="FC63" s="12"/>
      <c r="FD63" s="12"/>
      <c r="FE63" s="12"/>
      <c r="FF63" s="12"/>
      <c r="FG63" s="12"/>
      <c r="FH63" s="12"/>
      <c r="FI63" s="12"/>
      <c r="FJ63" s="12"/>
      <c r="FK63" s="12"/>
      <c r="FL63" s="12"/>
      <c r="FM63" s="12"/>
      <c r="FN63" s="12"/>
      <c r="FO63" s="12"/>
      <c r="FP63" s="12"/>
      <c r="FQ63" s="12"/>
      <c r="FR63" s="12"/>
      <c r="FS63" s="12"/>
      <c r="FT63" s="12"/>
      <c r="FU63" s="12"/>
      <c r="FV63" s="12"/>
      <c r="FW63" s="12"/>
      <c r="FX63" s="12"/>
      <c r="FY63" s="12"/>
      <c r="FZ63" s="12"/>
      <c r="GA63" s="12"/>
      <c r="GB63" s="12"/>
      <c r="GC63" s="12"/>
      <c r="GD63" s="12"/>
      <c r="GE63" s="12"/>
      <c r="GF63" s="12"/>
      <c r="GG63" s="12"/>
      <c r="GH63" s="12"/>
      <c r="GI63" s="12"/>
      <c r="GJ63" s="12"/>
      <c r="GK63" s="12"/>
      <c r="GL63" s="12"/>
      <c r="GM63" s="12"/>
      <c r="GN63" s="12"/>
      <c r="GO63" s="12"/>
      <c r="GP63" s="12"/>
      <c r="GQ63" s="12"/>
      <c r="GR63" s="12"/>
      <c r="GS63" s="12"/>
      <c r="GT63" s="12"/>
      <c r="GU63" s="12"/>
      <c r="GV63" s="12"/>
      <c r="GW63" s="12"/>
      <c r="GX63" s="12"/>
      <c r="GY63" s="12"/>
      <c r="GZ63" s="12"/>
      <c r="HA63" s="12"/>
      <c r="HB63" s="12"/>
      <c r="HC63" s="12"/>
      <c r="HD63" s="12"/>
      <c r="HE63" s="12"/>
      <c r="HF63" s="12"/>
      <c r="HG63" s="12"/>
      <c r="HH63" s="12"/>
      <c r="HI63" s="12"/>
    </row>
    <row r="64" spans="1:217" ht="15.75">
      <c r="A64" s="173"/>
      <c r="B64" s="174"/>
      <c r="C64" s="175"/>
      <c r="D64" s="177"/>
      <c r="E64" s="170"/>
      <c r="F64" s="170"/>
      <c r="G64" s="170"/>
      <c r="H64" s="170"/>
      <c r="I64" s="170"/>
      <c r="J64" s="170"/>
      <c r="K64" s="170"/>
      <c r="L64" s="170"/>
      <c r="M64" s="170"/>
      <c r="N64" s="170"/>
      <c r="O64" s="171"/>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c r="DA64" s="12"/>
      <c r="DB64" s="12"/>
      <c r="DC64" s="12"/>
      <c r="DD64" s="12"/>
      <c r="DE64" s="12"/>
      <c r="DF64" s="12"/>
      <c r="DG64" s="12"/>
      <c r="DH64" s="12"/>
      <c r="DI64" s="12"/>
      <c r="DJ64" s="12"/>
      <c r="DK64" s="12"/>
      <c r="DL64" s="12"/>
      <c r="DM64" s="12"/>
      <c r="DN64" s="12"/>
      <c r="DO64" s="12"/>
      <c r="DP64" s="12"/>
      <c r="DQ64" s="12"/>
      <c r="DR64" s="12"/>
      <c r="DS64" s="12"/>
      <c r="DT64" s="12"/>
      <c r="DU64" s="12"/>
      <c r="DV64" s="12"/>
      <c r="DW64" s="12"/>
      <c r="DX64" s="12"/>
      <c r="DY64" s="12"/>
      <c r="DZ64" s="12"/>
      <c r="EA64" s="12"/>
      <c r="EB64" s="12"/>
      <c r="EC64" s="12"/>
      <c r="ED64" s="12"/>
      <c r="EE64" s="12"/>
      <c r="EF64" s="12"/>
      <c r="EG64" s="12"/>
      <c r="EH64" s="12"/>
      <c r="EI64" s="12"/>
      <c r="EJ64" s="12"/>
      <c r="EK64" s="12"/>
      <c r="EL64" s="12"/>
      <c r="EM64" s="12"/>
      <c r="EN64" s="12"/>
      <c r="EO64" s="12"/>
      <c r="EP64" s="12"/>
      <c r="EQ64" s="12"/>
      <c r="ER64" s="12"/>
      <c r="ES64" s="12"/>
      <c r="ET64" s="12"/>
      <c r="EU64" s="12"/>
      <c r="EV64" s="12"/>
      <c r="EW64" s="12"/>
      <c r="EX64" s="12"/>
      <c r="EY64" s="12"/>
      <c r="EZ64" s="12"/>
      <c r="FA64" s="12"/>
      <c r="FB64" s="12"/>
      <c r="FC64" s="12"/>
      <c r="FD64" s="12"/>
      <c r="FE64" s="12"/>
      <c r="FF64" s="12"/>
      <c r="FG64" s="12"/>
      <c r="FH64" s="12"/>
      <c r="FI64" s="12"/>
      <c r="FJ64" s="12"/>
      <c r="FK64" s="12"/>
      <c r="FL64" s="12"/>
      <c r="FM64" s="12"/>
      <c r="FN64" s="12"/>
      <c r="FO64" s="12"/>
      <c r="FP64" s="12"/>
      <c r="FQ64" s="12"/>
      <c r="FR64" s="12"/>
      <c r="FS64" s="12"/>
      <c r="FT64" s="12"/>
      <c r="FU64" s="12"/>
      <c r="FV64" s="12"/>
      <c r="FW64" s="12"/>
      <c r="FX64" s="12"/>
      <c r="FY64" s="12"/>
      <c r="FZ64" s="12"/>
      <c r="GA64" s="12"/>
      <c r="GB64" s="12"/>
      <c r="GC64" s="12"/>
      <c r="GD64" s="12"/>
      <c r="GE64" s="12"/>
      <c r="GF64" s="12"/>
      <c r="GG64" s="12"/>
      <c r="GH64" s="12"/>
      <c r="GI64" s="12"/>
      <c r="GJ64" s="12"/>
      <c r="GK64" s="12"/>
      <c r="GL64" s="12"/>
      <c r="GM64" s="12"/>
      <c r="GN64" s="12"/>
      <c r="GO64" s="12"/>
      <c r="GP64" s="12"/>
      <c r="GQ64" s="12"/>
      <c r="GR64" s="12"/>
      <c r="GS64" s="12"/>
      <c r="GT64" s="12"/>
      <c r="GU64" s="12"/>
      <c r="GV64" s="12"/>
      <c r="GW64" s="12"/>
      <c r="GX64" s="12"/>
      <c r="GY64" s="12"/>
      <c r="GZ64" s="12"/>
      <c r="HA64" s="12"/>
      <c r="HB64" s="12"/>
      <c r="HC64" s="12"/>
      <c r="HD64" s="12"/>
      <c r="HE64" s="12"/>
      <c r="HF64" s="12"/>
      <c r="HG64" s="12"/>
      <c r="HH64" s="12"/>
      <c r="HI64" s="12"/>
    </row>
    <row r="65" spans="1:217" s="115" customFormat="1">
      <c r="A65" s="116" t="s">
        <v>265</v>
      </c>
      <c r="B65" s="117" t="s">
        <v>266</v>
      </c>
      <c r="C65" s="118"/>
      <c r="D65" s="137"/>
      <c r="E65" s="118"/>
      <c r="F65" s="118"/>
      <c r="G65" s="118"/>
      <c r="H65" s="118"/>
      <c r="I65" s="118"/>
      <c r="J65" s="118"/>
      <c r="K65" s="118"/>
      <c r="L65" s="118"/>
      <c r="M65" s="118"/>
      <c r="N65" s="118"/>
      <c r="O65" s="119"/>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c r="DK65" s="114"/>
      <c r="DL65" s="114"/>
      <c r="DM65" s="114"/>
      <c r="DN65" s="114"/>
      <c r="DO65" s="114"/>
      <c r="DP65" s="114"/>
      <c r="DQ65" s="114"/>
      <c r="DR65" s="114"/>
      <c r="DS65" s="114"/>
      <c r="DT65" s="114"/>
      <c r="DU65" s="114"/>
      <c r="DV65" s="114"/>
      <c r="DW65" s="114"/>
      <c r="DX65" s="114"/>
      <c r="DY65" s="114"/>
      <c r="DZ65" s="114"/>
      <c r="EA65" s="114"/>
      <c r="EB65" s="114"/>
      <c r="EC65" s="114"/>
      <c r="ED65" s="114"/>
      <c r="EE65" s="114"/>
      <c r="EF65" s="114"/>
      <c r="EG65" s="114"/>
      <c r="EH65" s="114"/>
      <c r="EI65" s="114"/>
      <c r="EJ65" s="114"/>
      <c r="EK65" s="114"/>
      <c r="EL65" s="114"/>
      <c r="EM65" s="114"/>
      <c r="EN65" s="114"/>
      <c r="EO65" s="114"/>
      <c r="EP65" s="114"/>
      <c r="EQ65" s="114"/>
      <c r="ER65" s="114"/>
      <c r="ES65" s="114"/>
      <c r="ET65" s="114"/>
      <c r="EU65" s="114"/>
      <c r="EV65" s="114"/>
      <c r="EW65" s="114"/>
      <c r="EX65" s="114"/>
      <c r="EY65" s="114"/>
      <c r="EZ65" s="114"/>
      <c r="FA65" s="114"/>
      <c r="FB65" s="114"/>
      <c r="FC65" s="114"/>
      <c r="FD65" s="114"/>
      <c r="FE65" s="114"/>
      <c r="FF65" s="114"/>
      <c r="FG65" s="114"/>
      <c r="FH65" s="114"/>
      <c r="FI65" s="114"/>
      <c r="FJ65" s="114"/>
      <c r="FK65" s="114"/>
      <c r="FL65" s="114"/>
      <c r="FM65" s="114"/>
      <c r="FN65" s="114"/>
      <c r="FO65" s="114"/>
      <c r="FP65" s="114"/>
      <c r="FQ65" s="114"/>
      <c r="FR65" s="114"/>
      <c r="FS65" s="114"/>
      <c r="FT65" s="114"/>
      <c r="FU65" s="114"/>
      <c r="FV65" s="114"/>
      <c r="FW65" s="114"/>
      <c r="FX65" s="114"/>
      <c r="FY65" s="114"/>
      <c r="FZ65" s="114"/>
      <c r="GA65" s="114"/>
      <c r="GB65" s="114"/>
      <c r="GC65" s="114"/>
      <c r="GD65" s="114"/>
      <c r="GE65" s="114"/>
      <c r="GF65" s="114"/>
      <c r="GG65" s="114"/>
      <c r="GH65" s="114"/>
      <c r="GI65" s="114"/>
      <c r="GJ65" s="114"/>
      <c r="GK65" s="114"/>
      <c r="GL65" s="114"/>
      <c r="GM65" s="114"/>
      <c r="GN65" s="114"/>
      <c r="GO65" s="114"/>
      <c r="GP65" s="114"/>
      <c r="GQ65" s="114"/>
      <c r="GR65" s="114"/>
      <c r="GS65" s="114"/>
      <c r="GT65" s="114"/>
      <c r="GU65" s="114"/>
      <c r="GV65" s="114"/>
      <c r="GW65" s="114"/>
      <c r="GX65" s="114"/>
      <c r="GY65" s="114"/>
      <c r="GZ65" s="114"/>
      <c r="HA65" s="114"/>
      <c r="HB65" s="114"/>
      <c r="HC65" s="114"/>
      <c r="HD65" s="114"/>
      <c r="HE65" s="114"/>
      <c r="HF65" s="114"/>
      <c r="HG65" s="114"/>
      <c r="HH65" s="114"/>
      <c r="HI65" s="114"/>
    </row>
    <row r="66" spans="1:217" ht="31.5">
      <c r="A66" s="120">
        <v>1</v>
      </c>
      <c r="B66" s="121" t="s">
        <v>267</v>
      </c>
      <c r="C66" s="122" t="s">
        <v>12</v>
      </c>
      <c r="D66" s="132">
        <f>+SUM(E66:N66)</f>
        <v>32363.788600000003</v>
      </c>
      <c r="E66" s="132"/>
      <c r="F66" s="122"/>
      <c r="G66" s="132">
        <f>+'Ba tuong cot trong nha'!J248</f>
        <v>4248.9724999999999</v>
      </c>
      <c r="H66" s="132">
        <f>+'Ba tuong cot trong nha'!J9</f>
        <v>1512.5328999999999</v>
      </c>
      <c r="I66" s="132">
        <f>+'Ba tuong cot trong nha'!J10</f>
        <v>7562.6644999999999</v>
      </c>
      <c r="J66" s="132">
        <f>+'Ba tuong cot trong nha'!J61</f>
        <v>12100.263199999999</v>
      </c>
      <c r="K66" s="132">
        <f>+'Ba tuong cot trong nha'!J112</f>
        <v>1387.8710999999998</v>
      </c>
      <c r="L66" s="132">
        <f>+'Ba tuong cot trong nha'!J157</f>
        <v>4163.6132999999991</v>
      </c>
      <c r="M66" s="132">
        <f>+'Ba tuong cot trong nha'!J202</f>
        <v>1387.8710999999998</v>
      </c>
      <c r="N66" s="122"/>
      <c r="O66" s="123"/>
    </row>
    <row r="67" spans="1:217" ht="31.5">
      <c r="A67" s="120">
        <v>2</v>
      </c>
      <c r="B67" s="121" t="s">
        <v>268</v>
      </c>
      <c r="C67" s="122" t="s">
        <v>12</v>
      </c>
      <c r="D67" s="132">
        <f>+SUM(E67:N67)</f>
        <v>83780.444799999997</v>
      </c>
      <c r="E67" s="122"/>
      <c r="F67" s="122"/>
      <c r="G67" s="122"/>
      <c r="H67" s="132">
        <f>+'Ba Acotec'!J9</f>
        <v>4457.5601999999999</v>
      </c>
      <c r="I67" s="132">
        <f>+'Ba Acotec'!J10</f>
        <v>22287.800999999999</v>
      </c>
      <c r="J67" s="132">
        <f>+'Ba Acotec'!J95</f>
        <v>36542.401599999997</v>
      </c>
      <c r="K67" s="132">
        <f>+'Ba Acotec'!J180</f>
        <v>4186.4271999999992</v>
      </c>
      <c r="L67" s="132">
        <f>+'Ba Acotec'!J253</f>
        <v>12559.281599999998</v>
      </c>
      <c r="M67" s="132">
        <f>+'Ba Acotec'!J326</f>
        <v>3746.9731999999995</v>
      </c>
      <c r="N67" s="122"/>
      <c r="O67" s="123"/>
    </row>
    <row r="68" spans="1:217" ht="31.5">
      <c r="A68" s="120">
        <v>3</v>
      </c>
      <c r="B68" s="121" t="s">
        <v>310</v>
      </c>
      <c r="C68" s="122" t="s">
        <v>12</v>
      </c>
      <c r="D68" s="132">
        <f>+D67+D66</f>
        <v>116144.2334</v>
      </c>
      <c r="E68" s="122"/>
      <c r="F68" s="122"/>
      <c r="G68" s="122"/>
      <c r="H68" s="122"/>
      <c r="I68" s="122"/>
      <c r="J68" s="122"/>
      <c r="K68" s="122"/>
      <c r="L68" s="122"/>
      <c r="M68" s="122"/>
      <c r="N68" s="122"/>
      <c r="O68" s="123"/>
    </row>
    <row r="69" spans="1:217" ht="31.5">
      <c r="A69" s="120">
        <v>4</v>
      </c>
      <c r="B69" s="121" t="s">
        <v>269</v>
      </c>
      <c r="C69" s="122" t="s">
        <v>12</v>
      </c>
      <c r="D69" s="132">
        <f>+SUM(E69:N69)</f>
        <v>10875.471400000002</v>
      </c>
      <c r="E69" s="132">
        <f>+'Son tuong khong ba'!J9</f>
        <v>1605.84</v>
      </c>
      <c r="F69" s="132">
        <f>+'Son tuong khong ba'!J33</f>
        <v>1451.1152000000004</v>
      </c>
      <c r="G69" s="132">
        <f>+'Son tuong khong ba'!J62</f>
        <v>455.06300000000005</v>
      </c>
      <c r="H69" s="132">
        <f>+'Son tuong khong ba'!I73</f>
        <v>349.7808</v>
      </c>
      <c r="I69" s="122">
        <f>+H69*5</f>
        <v>1748.904</v>
      </c>
      <c r="J69" s="122">
        <f>+H69*8</f>
        <v>2798.2464</v>
      </c>
      <c r="K69" s="132">
        <f>+H69</f>
        <v>349.7808</v>
      </c>
      <c r="L69" s="122">
        <f>+H69*3</f>
        <v>1049.3424</v>
      </c>
      <c r="M69" s="132">
        <f>+H69</f>
        <v>349.7808</v>
      </c>
      <c r="N69" s="132">
        <f>+'Son tuong khong ba'!J90</f>
        <v>717.61800000000005</v>
      </c>
      <c r="O69" s="123"/>
    </row>
    <row r="70" spans="1:217" s="115" customFormat="1">
      <c r="A70" s="124" t="s">
        <v>34</v>
      </c>
      <c r="B70" s="125" t="s">
        <v>270</v>
      </c>
      <c r="C70" s="122" t="s">
        <v>12</v>
      </c>
      <c r="D70" s="132"/>
      <c r="E70" s="126"/>
      <c r="F70" s="126"/>
      <c r="G70" s="126"/>
      <c r="H70" s="126"/>
      <c r="I70" s="126"/>
      <c r="J70" s="126"/>
      <c r="K70" s="126"/>
      <c r="L70" s="126"/>
      <c r="M70" s="126"/>
      <c r="N70" s="126"/>
      <c r="O70" s="127"/>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c r="DK70" s="114"/>
      <c r="DL70" s="114"/>
      <c r="DM70" s="114"/>
      <c r="DN70" s="114"/>
      <c r="DO70" s="114"/>
      <c r="DP70" s="114"/>
      <c r="DQ70" s="114"/>
      <c r="DR70" s="114"/>
      <c r="DS70" s="114"/>
      <c r="DT70" s="114"/>
      <c r="DU70" s="114"/>
      <c r="DV70" s="114"/>
      <c r="DW70" s="114"/>
      <c r="DX70" s="114"/>
      <c r="DY70" s="114"/>
      <c r="DZ70" s="114"/>
      <c r="EA70" s="114"/>
      <c r="EB70" s="114"/>
      <c r="EC70" s="114"/>
      <c r="ED70" s="114"/>
      <c r="EE70" s="114"/>
      <c r="EF70" s="114"/>
      <c r="EG70" s="114"/>
      <c r="EH70" s="114"/>
      <c r="EI70" s="114"/>
      <c r="EJ70" s="114"/>
      <c r="EK70" s="114"/>
      <c r="EL70" s="114"/>
      <c r="EM70" s="114"/>
      <c r="EN70" s="114"/>
      <c r="EO70" s="114"/>
      <c r="EP70" s="114"/>
      <c r="EQ70" s="114"/>
      <c r="ER70" s="114"/>
      <c r="ES70" s="114"/>
      <c r="ET70" s="114"/>
      <c r="EU70" s="114"/>
      <c r="EV70" s="114"/>
      <c r="EW70" s="114"/>
      <c r="EX70" s="114"/>
      <c r="EY70" s="114"/>
      <c r="EZ70" s="114"/>
      <c r="FA70" s="114"/>
      <c r="FB70" s="114"/>
      <c r="FC70" s="114"/>
      <c r="FD70" s="114"/>
      <c r="FE70" s="114"/>
      <c r="FF70" s="114"/>
      <c r="FG70" s="114"/>
      <c r="FH70" s="114"/>
      <c r="FI70" s="114"/>
      <c r="FJ70" s="114"/>
      <c r="FK70" s="114"/>
      <c r="FL70" s="114"/>
      <c r="FM70" s="114"/>
      <c r="FN70" s="114"/>
      <c r="FO70" s="114"/>
      <c r="FP70" s="114"/>
      <c r="FQ70" s="114"/>
      <c r="FR70" s="114"/>
      <c r="FS70" s="114"/>
      <c r="FT70" s="114"/>
      <c r="FU70" s="114"/>
      <c r="FV70" s="114"/>
      <c r="FW70" s="114"/>
      <c r="FX70" s="114"/>
      <c r="FY70" s="114"/>
      <c r="FZ70" s="114"/>
      <c r="GA70" s="114"/>
      <c r="GB70" s="114"/>
      <c r="GC70" s="114"/>
      <c r="GD70" s="114"/>
      <c r="GE70" s="114"/>
      <c r="GF70" s="114"/>
      <c r="GG70" s="114"/>
      <c r="GH70" s="114"/>
      <c r="GI70" s="114"/>
      <c r="GJ70" s="114"/>
      <c r="GK70" s="114"/>
      <c r="GL70" s="114"/>
      <c r="GM70" s="114"/>
      <c r="GN70" s="114"/>
      <c r="GO70" s="114"/>
      <c r="GP70" s="114"/>
      <c r="GQ70" s="114"/>
      <c r="GR70" s="114"/>
      <c r="GS70" s="114"/>
      <c r="GT70" s="114"/>
      <c r="GU70" s="114"/>
      <c r="GV70" s="114"/>
      <c r="GW70" s="114"/>
      <c r="GX70" s="114"/>
      <c r="GY70" s="114"/>
      <c r="GZ70" s="114"/>
      <c r="HA70" s="114"/>
      <c r="HB70" s="114"/>
      <c r="HC70" s="114"/>
      <c r="HD70" s="114"/>
      <c r="HE70" s="114"/>
      <c r="HF70" s="114"/>
      <c r="HG70" s="114"/>
      <c r="HH70" s="114"/>
      <c r="HI70" s="114"/>
    </row>
    <row r="71" spans="1:217" ht="31.5">
      <c r="A71" s="120">
        <v>1</v>
      </c>
      <c r="B71" s="121" t="s">
        <v>315</v>
      </c>
      <c r="C71" s="122" t="s">
        <v>12</v>
      </c>
      <c r="D71" s="132">
        <f>+SUM(E71:N71)</f>
        <v>23269.061360000003</v>
      </c>
      <c r="E71" s="122"/>
      <c r="F71" s="122"/>
      <c r="G71" s="122"/>
      <c r="H71" s="132">
        <f>+'Ba logia'!J9</f>
        <v>1224.6874399999999</v>
      </c>
      <c r="I71" s="132">
        <f>+'Ba logia'!J10</f>
        <v>6123.4371999999994</v>
      </c>
      <c r="J71" s="132">
        <f>+'Ba logia'!J70</f>
        <v>9797.4995199999994</v>
      </c>
      <c r="K71" s="132">
        <f>+'Ba logia'!J71</f>
        <v>1224.6874399999999</v>
      </c>
      <c r="L71" s="132">
        <f>+'Ba logia'!J72</f>
        <v>3674.06232</v>
      </c>
      <c r="M71" s="132">
        <f>+'Ba logia'!J73</f>
        <v>1224.6874399999999</v>
      </c>
      <c r="N71" s="122"/>
      <c r="O71" s="123"/>
    </row>
    <row r="72" spans="1:217" ht="31.5">
      <c r="A72" s="120">
        <v>2</v>
      </c>
      <c r="B72" s="121" t="s">
        <v>316</v>
      </c>
      <c r="C72" s="122" t="s">
        <v>12</v>
      </c>
      <c r="D72" s="132">
        <f>+D71</f>
        <v>23269.061360000003</v>
      </c>
      <c r="E72" s="122"/>
      <c r="F72" s="122"/>
      <c r="G72" s="122"/>
      <c r="H72" s="132">
        <f>+H71</f>
        <v>1224.6874399999999</v>
      </c>
      <c r="I72" s="132">
        <f t="shared" ref="I72:M72" si="0">+I71</f>
        <v>6123.4371999999994</v>
      </c>
      <c r="J72" s="132">
        <f t="shared" si="0"/>
        <v>9797.4995199999994</v>
      </c>
      <c r="K72" s="132">
        <f t="shared" si="0"/>
        <v>1224.6874399999999</v>
      </c>
      <c r="L72" s="132">
        <f t="shared" si="0"/>
        <v>3674.06232</v>
      </c>
      <c r="M72" s="132">
        <f t="shared" si="0"/>
        <v>1224.6874399999999</v>
      </c>
      <c r="N72" s="122"/>
      <c r="O72" s="123"/>
    </row>
    <row r="73" spans="1:217" ht="31.5">
      <c r="A73" s="120">
        <v>3</v>
      </c>
      <c r="B73" s="121" t="s">
        <v>317</v>
      </c>
      <c r="C73" s="122" t="s">
        <v>12</v>
      </c>
      <c r="D73" s="132">
        <f>+SUM(E73:N73)</f>
        <v>3847.1009999999997</v>
      </c>
      <c r="E73" s="122"/>
      <c r="F73" s="122"/>
      <c r="G73" s="122"/>
      <c r="H73" s="132">
        <f>+'Tran logia'!J9</f>
        <v>202.47900000000001</v>
      </c>
      <c r="I73" s="132">
        <f>+'Tran logia'!J10</f>
        <v>1012.3950000000001</v>
      </c>
      <c r="J73" s="132">
        <f>+'Tran logia'!J28</f>
        <v>1619.8320000000001</v>
      </c>
      <c r="K73" s="132">
        <f>+'Tran logia'!J29</f>
        <v>202.47900000000001</v>
      </c>
      <c r="L73" s="132">
        <f>+'Tran logia'!J30</f>
        <v>607.43700000000001</v>
      </c>
      <c r="M73" s="132">
        <f>+'Tran logia'!J31</f>
        <v>202.47900000000001</v>
      </c>
      <c r="N73" s="122"/>
      <c r="O73" s="123"/>
    </row>
    <row r="74" spans="1:217" ht="31.5">
      <c r="A74" s="120">
        <v>4</v>
      </c>
      <c r="B74" s="121" t="s">
        <v>271</v>
      </c>
      <c r="C74" s="122" t="s">
        <v>12</v>
      </c>
      <c r="D74" s="132">
        <f>+THKL!$I$70</f>
        <v>0</v>
      </c>
      <c r="E74" s="122"/>
      <c r="F74" s="122"/>
      <c r="G74" s="122"/>
      <c r="H74" s="122"/>
      <c r="I74" s="122"/>
      <c r="J74" s="122"/>
      <c r="K74" s="122"/>
      <c r="L74" s="122"/>
      <c r="M74" s="122"/>
      <c r="N74" s="122"/>
      <c r="O74" s="123"/>
    </row>
    <row r="75" spans="1:217">
      <c r="A75" s="120">
        <v>5</v>
      </c>
      <c r="B75" s="121" t="s">
        <v>257</v>
      </c>
      <c r="C75" s="122" t="s">
        <v>12</v>
      </c>
      <c r="D75" s="132">
        <v>775.63</v>
      </c>
      <c r="E75" s="122"/>
      <c r="F75" s="122"/>
      <c r="G75" s="122"/>
      <c r="H75" s="122"/>
      <c r="I75" s="122"/>
      <c r="J75" s="122"/>
      <c r="K75" s="122"/>
      <c r="L75" s="122"/>
      <c r="M75" s="122"/>
      <c r="N75" s="122"/>
      <c r="O75" s="123"/>
    </row>
    <row r="76" spans="1:217" s="115" customFormat="1">
      <c r="A76" s="124" t="s">
        <v>51</v>
      </c>
      <c r="B76" s="125" t="s">
        <v>345</v>
      </c>
      <c r="C76" s="126"/>
      <c r="D76" s="138"/>
      <c r="E76" s="126"/>
      <c r="F76" s="126"/>
      <c r="G76" s="126"/>
      <c r="H76" s="126"/>
      <c r="I76" s="126"/>
      <c r="J76" s="126"/>
      <c r="K76" s="126"/>
      <c r="L76" s="126"/>
      <c r="M76" s="126"/>
      <c r="N76" s="126"/>
      <c r="O76" s="127"/>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c r="DK76" s="114"/>
      <c r="DL76" s="114"/>
      <c r="DM76" s="114"/>
      <c r="DN76" s="114"/>
      <c r="DO76" s="114"/>
      <c r="DP76" s="114"/>
      <c r="DQ76" s="114"/>
      <c r="DR76" s="114"/>
      <c r="DS76" s="114"/>
      <c r="DT76" s="114"/>
      <c r="DU76" s="114"/>
      <c r="DV76" s="114"/>
      <c r="DW76" s="114"/>
      <c r="DX76" s="114"/>
      <c r="DY76" s="114"/>
      <c r="DZ76" s="114"/>
      <c r="EA76" s="114"/>
      <c r="EB76" s="114"/>
      <c r="EC76" s="114"/>
      <c r="ED76" s="114"/>
      <c r="EE76" s="114"/>
      <c r="EF76" s="114"/>
      <c r="EG76" s="114"/>
      <c r="EH76" s="114"/>
      <c r="EI76" s="114"/>
      <c r="EJ76" s="114"/>
      <c r="EK76" s="114"/>
      <c r="EL76" s="114"/>
      <c r="EM76" s="114"/>
      <c r="EN76" s="114"/>
      <c r="EO76" s="114"/>
      <c r="EP76" s="114"/>
      <c r="EQ76" s="114"/>
      <c r="ER76" s="114"/>
      <c r="ES76" s="114"/>
      <c r="ET76" s="114"/>
      <c r="EU76" s="114"/>
      <c r="EV76" s="114"/>
      <c r="EW76" s="114"/>
      <c r="EX76" s="114"/>
      <c r="EY76" s="114"/>
      <c r="EZ76" s="114"/>
      <c r="FA76" s="114"/>
      <c r="FB76" s="114"/>
      <c r="FC76" s="114"/>
      <c r="FD76" s="114"/>
      <c r="FE76" s="114"/>
      <c r="FF76" s="114"/>
      <c r="FG76" s="114"/>
      <c r="FH76" s="114"/>
      <c r="FI76" s="114"/>
      <c r="FJ76" s="114"/>
      <c r="FK76" s="114"/>
      <c r="FL76" s="114"/>
      <c r="FM76" s="114"/>
      <c r="FN76" s="114"/>
      <c r="FO76" s="114"/>
      <c r="FP76" s="114"/>
      <c r="FQ76" s="114"/>
      <c r="FR76" s="114"/>
      <c r="FS76" s="114"/>
      <c r="FT76" s="114"/>
      <c r="FU76" s="114"/>
      <c r="FV76" s="114"/>
      <c r="FW76" s="114"/>
      <c r="FX76" s="114"/>
      <c r="FY76" s="114"/>
      <c r="FZ76" s="114"/>
      <c r="GA76" s="114"/>
      <c r="GB76" s="114"/>
      <c r="GC76" s="114"/>
      <c r="GD76" s="114"/>
      <c r="GE76" s="114"/>
      <c r="GF76" s="114"/>
      <c r="GG76" s="114"/>
      <c r="GH76" s="114"/>
      <c r="GI76" s="114"/>
      <c r="GJ76" s="114"/>
      <c r="GK76" s="114"/>
      <c r="GL76" s="114"/>
      <c r="GM76" s="114"/>
      <c r="GN76" s="114"/>
      <c r="GO76" s="114"/>
      <c r="GP76" s="114"/>
      <c r="GQ76" s="114"/>
      <c r="GR76" s="114"/>
      <c r="GS76" s="114"/>
      <c r="GT76" s="114"/>
      <c r="GU76" s="114"/>
      <c r="GV76" s="114"/>
      <c r="GW76" s="114"/>
      <c r="GX76" s="114"/>
      <c r="GY76" s="114"/>
      <c r="GZ76" s="114"/>
      <c r="HA76" s="114"/>
      <c r="HB76" s="114"/>
      <c r="HC76" s="114"/>
      <c r="HD76" s="114"/>
      <c r="HE76" s="114"/>
      <c r="HF76" s="114"/>
      <c r="HG76" s="114"/>
      <c r="HH76" s="114"/>
      <c r="HI76" s="114"/>
    </row>
    <row r="77" spans="1:217">
      <c r="A77" s="120">
        <v>6</v>
      </c>
      <c r="B77" s="121" t="s">
        <v>347</v>
      </c>
      <c r="C77" s="122" t="s">
        <v>12</v>
      </c>
      <c r="D77" s="132"/>
      <c r="E77" s="122"/>
      <c r="F77" s="122"/>
      <c r="G77" s="122"/>
      <c r="H77" s="122"/>
      <c r="I77" s="122"/>
      <c r="J77" s="122"/>
      <c r="K77" s="122"/>
      <c r="L77" s="122"/>
      <c r="M77" s="122"/>
      <c r="N77" s="122"/>
      <c r="O77" s="123"/>
    </row>
    <row r="78" spans="1:217" s="115" customFormat="1">
      <c r="A78" s="124" t="s">
        <v>346</v>
      </c>
      <c r="B78" s="125" t="s">
        <v>272</v>
      </c>
      <c r="C78" s="126"/>
      <c r="D78" s="138"/>
      <c r="E78" s="126"/>
      <c r="F78" s="126"/>
      <c r="G78" s="126"/>
      <c r="H78" s="126"/>
      <c r="I78" s="126"/>
      <c r="J78" s="126"/>
      <c r="K78" s="126"/>
      <c r="L78" s="126"/>
      <c r="M78" s="126"/>
      <c r="N78" s="126"/>
      <c r="O78" s="127"/>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c r="DK78" s="114"/>
      <c r="DL78" s="114"/>
      <c r="DM78" s="114"/>
      <c r="DN78" s="114"/>
      <c r="DO78" s="114"/>
      <c r="DP78" s="114"/>
      <c r="DQ78" s="114"/>
      <c r="DR78" s="114"/>
      <c r="DS78" s="114"/>
      <c r="DT78" s="114"/>
      <c r="DU78" s="114"/>
      <c r="DV78" s="114"/>
      <c r="DW78" s="114"/>
      <c r="DX78" s="114"/>
      <c r="DY78" s="114"/>
      <c r="DZ78" s="114"/>
      <c r="EA78" s="114"/>
      <c r="EB78" s="114"/>
      <c r="EC78" s="114"/>
      <c r="ED78" s="114"/>
      <c r="EE78" s="114"/>
      <c r="EF78" s="114"/>
      <c r="EG78" s="114"/>
      <c r="EH78" s="114"/>
      <c r="EI78" s="114"/>
      <c r="EJ78" s="114"/>
      <c r="EK78" s="114"/>
      <c r="EL78" s="114"/>
      <c r="EM78" s="114"/>
      <c r="EN78" s="114"/>
      <c r="EO78" s="114"/>
      <c r="EP78" s="114"/>
      <c r="EQ78" s="114"/>
      <c r="ER78" s="114"/>
      <c r="ES78" s="114"/>
      <c r="ET78" s="114"/>
      <c r="EU78" s="114"/>
      <c r="EV78" s="114"/>
      <c r="EW78" s="114"/>
      <c r="EX78" s="114"/>
      <c r="EY78" s="114"/>
      <c r="EZ78" s="114"/>
      <c r="FA78" s="114"/>
      <c r="FB78" s="114"/>
      <c r="FC78" s="114"/>
      <c r="FD78" s="114"/>
      <c r="FE78" s="114"/>
      <c r="FF78" s="114"/>
      <c r="FG78" s="114"/>
      <c r="FH78" s="114"/>
      <c r="FI78" s="114"/>
      <c r="FJ78" s="114"/>
      <c r="FK78" s="114"/>
      <c r="FL78" s="114"/>
      <c r="FM78" s="114"/>
      <c r="FN78" s="114"/>
      <c r="FO78" s="114"/>
      <c r="FP78" s="114"/>
      <c r="FQ78" s="114"/>
      <c r="FR78" s="114"/>
      <c r="FS78" s="114"/>
      <c r="FT78" s="114"/>
      <c r="FU78" s="114"/>
      <c r="FV78" s="114"/>
      <c r="FW78" s="114"/>
      <c r="FX78" s="114"/>
      <c r="FY78" s="114"/>
      <c r="FZ78" s="114"/>
      <c r="GA78" s="114"/>
      <c r="GB78" s="114"/>
      <c r="GC78" s="114"/>
      <c r="GD78" s="114"/>
      <c r="GE78" s="114"/>
      <c r="GF78" s="114"/>
      <c r="GG78" s="114"/>
      <c r="GH78" s="114"/>
      <c r="GI78" s="114"/>
      <c r="GJ78" s="114"/>
      <c r="GK78" s="114"/>
      <c r="GL78" s="114"/>
      <c r="GM78" s="114"/>
      <c r="GN78" s="114"/>
      <c r="GO78" s="114"/>
      <c r="GP78" s="114"/>
      <c r="GQ78" s="114"/>
      <c r="GR78" s="114"/>
      <c r="GS78" s="114"/>
      <c r="GT78" s="114"/>
      <c r="GU78" s="114"/>
      <c r="GV78" s="114"/>
      <c r="GW78" s="114"/>
      <c r="GX78" s="114"/>
      <c r="GY78" s="114"/>
      <c r="GZ78" s="114"/>
      <c r="HA78" s="114"/>
      <c r="HB78" s="114"/>
      <c r="HC78" s="114"/>
      <c r="HD78" s="114"/>
      <c r="HE78" s="114"/>
      <c r="HF78" s="114"/>
      <c r="HG78" s="114"/>
      <c r="HH78" s="114"/>
      <c r="HI78" s="114"/>
    </row>
    <row r="79" spans="1:217" ht="47.25">
      <c r="A79" s="128">
        <v>1</v>
      </c>
      <c r="B79" s="129" t="s">
        <v>273</v>
      </c>
      <c r="C79" s="130"/>
      <c r="D79" s="139"/>
      <c r="E79" s="130"/>
      <c r="F79" s="130"/>
      <c r="G79" s="130"/>
      <c r="H79" s="130"/>
      <c r="I79" s="130"/>
      <c r="J79" s="130"/>
      <c r="K79" s="130"/>
      <c r="L79" s="130"/>
      <c r="M79" s="130"/>
      <c r="N79" s="130"/>
      <c r="O79" s="131"/>
    </row>
  </sheetData>
  <mergeCells count="19">
    <mergeCell ref="C63:C64"/>
    <mergeCell ref="D63:D64"/>
    <mergeCell ref="H63:H64"/>
    <mergeCell ref="A1:O1"/>
    <mergeCell ref="A2:O2"/>
    <mergeCell ref="A3:O3"/>
    <mergeCell ref="N63:N64"/>
    <mergeCell ref="O63:O64"/>
    <mergeCell ref="A61:O61"/>
    <mergeCell ref="E63:E64"/>
    <mergeCell ref="G63:G64"/>
    <mergeCell ref="F63:F64"/>
    <mergeCell ref="I63:I64"/>
    <mergeCell ref="J63:J64"/>
    <mergeCell ref="K63:K64"/>
    <mergeCell ref="L63:L64"/>
    <mergeCell ref="M63:M64"/>
    <mergeCell ref="A63:A64"/>
    <mergeCell ref="B63:B6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57FCF-752A-4870-A3F3-F82F0777A70A}">
  <sheetPr>
    <tabColor theme="0" tint="-0.14999847407452621"/>
  </sheetPr>
  <dimension ref="A2:O419"/>
  <sheetViews>
    <sheetView zoomScaleNormal="100" workbookViewId="0">
      <pane xSplit="3" ySplit="7" topLeftCell="D413" activePane="bottomRight" state="frozen"/>
      <selection activeCell="I17" sqref="I17"/>
      <selection pane="topRight" activeCell="I17" sqref="I17"/>
      <selection pane="bottomLeft" activeCell="I17" sqref="I17"/>
      <selection pane="bottomRight" activeCell="B436" sqref="B436"/>
    </sheetView>
  </sheetViews>
  <sheetFormatPr defaultRowHeight="15" outlineLevelRow="1"/>
  <cols>
    <col min="1" max="1" width="6.28515625" style="1" customWidth="1"/>
    <col min="2" max="2" width="58" style="1" customWidth="1"/>
    <col min="3" max="3" width="9.140625" style="57"/>
    <col min="4" max="4" width="9.140625" style="1" customWidth="1"/>
    <col min="5" max="5" width="10.42578125" style="71" customWidth="1"/>
    <col min="6" max="8" width="9.140625" style="71" customWidth="1"/>
    <col min="9" max="9" width="13" style="71" customWidth="1"/>
    <col min="10" max="10" width="11.140625" style="71" customWidth="1"/>
    <col min="11" max="11" width="15" style="1" customWidth="1"/>
    <col min="12" max="12" width="9.140625" style="1"/>
    <col min="13" max="13" width="13.7109375" style="1" customWidth="1"/>
    <col min="14" max="14" width="44.5703125" style="1" customWidth="1"/>
    <col min="15" max="16384" width="9.140625" style="1"/>
  </cols>
  <sheetData>
    <row r="2" spans="1:15">
      <c r="A2" s="178" t="s">
        <v>205</v>
      </c>
      <c r="B2" s="178"/>
      <c r="C2" s="178"/>
      <c r="D2" s="178"/>
      <c r="E2" s="178"/>
      <c r="F2" s="178"/>
      <c r="G2" s="178"/>
      <c r="H2" s="178"/>
      <c r="I2" s="178"/>
      <c r="J2" s="178"/>
      <c r="K2" s="178"/>
    </row>
    <row r="6" spans="1:15" ht="15.75" customHeight="1">
      <c r="A6" s="179" t="s">
        <v>0</v>
      </c>
      <c r="B6" s="179" t="s">
        <v>1</v>
      </c>
      <c r="C6" s="179" t="s">
        <v>2</v>
      </c>
      <c r="D6" s="179" t="s">
        <v>3</v>
      </c>
      <c r="E6" s="181" t="s">
        <v>4</v>
      </c>
      <c r="F6" s="181"/>
      <c r="G6" s="181"/>
      <c r="H6" s="182" t="s">
        <v>5</v>
      </c>
      <c r="I6" s="181" t="s">
        <v>93</v>
      </c>
      <c r="J6" s="185" t="s">
        <v>6</v>
      </c>
      <c r="K6" s="179" t="s">
        <v>7</v>
      </c>
    </row>
    <row r="7" spans="1:15" ht="36.75" customHeight="1">
      <c r="A7" s="180"/>
      <c r="B7" s="180"/>
      <c r="C7" s="180"/>
      <c r="D7" s="180"/>
      <c r="E7" s="64" t="s">
        <v>8</v>
      </c>
      <c r="F7" s="64" t="s">
        <v>9</v>
      </c>
      <c r="G7" s="64" t="s">
        <v>10</v>
      </c>
      <c r="H7" s="183"/>
      <c r="I7" s="184"/>
      <c r="J7" s="186"/>
      <c r="K7" s="180"/>
    </row>
    <row r="8" spans="1:15" ht="29.25">
      <c r="A8" s="3" t="s">
        <v>19</v>
      </c>
      <c r="B8" s="32" t="s">
        <v>107</v>
      </c>
      <c r="C8" s="54" t="s">
        <v>12</v>
      </c>
      <c r="D8" s="3"/>
      <c r="E8" s="66"/>
      <c r="F8" s="66"/>
      <c r="G8" s="66"/>
      <c r="H8" s="66"/>
      <c r="I8" s="67"/>
      <c r="J8" s="67"/>
      <c r="K8" s="2"/>
      <c r="M8" s="52"/>
      <c r="N8" s="1" t="s">
        <v>178</v>
      </c>
      <c r="O8" s="1">
        <f>2.65+0.05-0.035-0.08+0.03</f>
        <v>2.6149999999999993</v>
      </c>
    </row>
    <row r="9" spans="1:15">
      <c r="A9" s="58">
        <v>1</v>
      </c>
      <c r="B9" s="59" t="s">
        <v>146</v>
      </c>
      <c r="C9" s="60"/>
      <c r="D9" s="58">
        <v>1</v>
      </c>
      <c r="E9" s="68"/>
      <c r="F9" s="68"/>
      <c r="G9" s="68"/>
      <c r="H9" s="68"/>
      <c r="I9" s="68">
        <f>+I10</f>
        <v>4457.5601999999999</v>
      </c>
      <c r="J9" s="68">
        <f>+D9*I9</f>
        <v>4457.5601999999999</v>
      </c>
      <c r="K9" s="61"/>
      <c r="M9" s="52"/>
    </row>
    <row r="10" spans="1:15">
      <c r="A10" s="58">
        <v>2</v>
      </c>
      <c r="B10" s="59" t="s">
        <v>172</v>
      </c>
      <c r="C10" s="60"/>
      <c r="D10" s="58">
        <v>5</v>
      </c>
      <c r="E10" s="68"/>
      <c r="F10" s="68"/>
      <c r="G10" s="68"/>
      <c r="H10" s="68"/>
      <c r="I10" s="68">
        <f>+J11+J23+J36+J48+J60+J71+J79+J91</f>
        <v>4457.5601999999999</v>
      </c>
      <c r="J10" s="68">
        <f>+D10*I10</f>
        <v>22287.800999999999</v>
      </c>
      <c r="K10" s="61"/>
      <c r="M10" s="52"/>
    </row>
    <row r="11" spans="1:15" ht="29.25" outlineLevel="1">
      <c r="A11" s="3"/>
      <c r="B11" s="32" t="s">
        <v>190</v>
      </c>
      <c r="C11" s="54"/>
      <c r="D11" s="3">
        <v>8</v>
      </c>
      <c r="E11" s="66"/>
      <c r="F11" s="66"/>
      <c r="G11" s="66"/>
      <c r="H11" s="66"/>
      <c r="I11" s="67">
        <f>+SUM(I12:I22)</f>
        <v>110.48274999999998</v>
      </c>
      <c r="J11" s="67">
        <f>+D11*I11</f>
        <v>883.86199999999985</v>
      </c>
      <c r="K11" s="2"/>
      <c r="M11" s="52"/>
      <c r="N11" s="52"/>
    </row>
    <row r="12" spans="1:15" outlineLevel="1">
      <c r="A12" s="3"/>
      <c r="B12" s="53" t="s">
        <v>177</v>
      </c>
      <c r="C12" s="56"/>
      <c r="D12" s="51">
        <v>1</v>
      </c>
      <c r="E12" s="69">
        <f>2.9+3</f>
        <v>5.9</v>
      </c>
      <c r="F12" s="69"/>
      <c r="G12" s="69">
        <v>2.65</v>
      </c>
      <c r="H12" s="69">
        <v>1</v>
      </c>
      <c r="I12" s="69">
        <f t="shared" ref="I12:I22" si="0">PRODUCT(E12:H12)</f>
        <v>15.635</v>
      </c>
      <c r="J12" s="69">
        <f t="shared" ref="J12:J22" si="1">I12*D12</f>
        <v>15.635</v>
      </c>
      <c r="K12" s="2" t="s">
        <v>197</v>
      </c>
      <c r="M12" s="52"/>
    </row>
    <row r="13" spans="1:15" outlineLevel="1">
      <c r="A13" s="3"/>
      <c r="B13" s="53" t="s">
        <v>13</v>
      </c>
      <c r="C13" s="56"/>
      <c r="D13" s="51">
        <v>1</v>
      </c>
      <c r="E13" s="69">
        <v>0.87</v>
      </c>
      <c r="F13" s="69"/>
      <c r="G13" s="69">
        <v>2.2000000000000002</v>
      </c>
      <c r="H13" s="69">
        <v>-1</v>
      </c>
      <c r="I13" s="69">
        <f t="shared" si="0"/>
        <v>-1.9140000000000001</v>
      </c>
      <c r="J13" s="69">
        <f t="shared" si="1"/>
        <v>-1.9140000000000001</v>
      </c>
      <c r="K13" s="2"/>
      <c r="M13" s="52"/>
    </row>
    <row r="14" spans="1:15" outlineLevel="1">
      <c r="A14" s="3"/>
      <c r="B14" s="53" t="s">
        <v>179</v>
      </c>
      <c r="C14" s="56"/>
      <c r="D14" s="51">
        <v>1</v>
      </c>
      <c r="E14" s="69">
        <f>(6050+1050+1200+1900+2600)/1000</f>
        <v>12.8</v>
      </c>
      <c r="F14" s="69"/>
      <c r="G14" s="69">
        <v>2.65</v>
      </c>
      <c r="H14" s="69">
        <v>1</v>
      </c>
      <c r="I14" s="69">
        <f t="shared" si="0"/>
        <v>33.92</v>
      </c>
      <c r="J14" s="69">
        <f t="shared" si="1"/>
        <v>33.92</v>
      </c>
      <c r="K14" s="2"/>
      <c r="M14" s="52"/>
    </row>
    <row r="15" spans="1:15" outlineLevel="1">
      <c r="A15" s="3"/>
      <c r="B15" s="53" t="s">
        <v>181</v>
      </c>
      <c r="C15" s="56"/>
      <c r="D15" s="51">
        <v>1</v>
      </c>
      <c r="E15" s="69">
        <v>0.87</v>
      </c>
      <c r="F15" s="69"/>
      <c r="G15" s="69">
        <v>2.2000000000000002</v>
      </c>
      <c r="H15" s="69">
        <v>-1</v>
      </c>
      <c r="I15" s="69">
        <f t="shared" si="0"/>
        <v>-1.9140000000000001</v>
      </c>
      <c r="J15" s="69">
        <f t="shared" si="1"/>
        <v>-1.9140000000000001</v>
      </c>
      <c r="K15" s="2"/>
      <c r="M15" s="52"/>
    </row>
    <row r="16" spans="1:15" outlineLevel="1">
      <c r="A16" s="3"/>
      <c r="B16" s="53" t="s">
        <v>183</v>
      </c>
      <c r="C16" s="56"/>
      <c r="D16" s="51">
        <v>1</v>
      </c>
      <c r="E16" s="69">
        <v>0.77</v>
      </c>
      <c r="F16" s="69"/>
      <c r="G16" s="69">
        <v>2.2000000000000002</v>
      </c>
      <c r="H16" s="69">
        <v>-1</v>
      </c>
      <c r="I16" s="69">
        <f t="shared" si="0"/>
        <v>-1.6940000000000002</v>
      </c>
      <c r="J16" s="69">
        <f t="shared" si="1"/>
        <v>-1.6940000000000002</v>
      </c>
      <c r="K16" s="2"/>
      <c r="M16" s="52"/>
    </row>
    <row r="17" spans="1:13" outlineLevel="1">
      <c r="A17" s="3"/>
      <c r="B17" s="53" t="s">
        <v>180</v>
      </c>
      <c r="C17" s="56"/>
      <c r="D17" s="51">
        <v>1</v>
      </c>
      <c r="E17" s="69">
        <f>(2900+600+100+3000+3100+2950+5150+1150+905+1150+1500+2650+1300+100+600+1750+1550)/1000</f>
        <v>30.454999999999998</v>
      </c>
      <c r="F17" s="69"/>
      <c r="G17" s="69">
        <v>2.65</v>
      </c>
      <c r="H17" s="69">
        <v>1</v>
      </c>
      <c r="I17" s="69">
        <f t="shared" si="0"/>
        <v>80.705749999999995</v>
      </c>
      <c r="J17" s="69">
        <f t="shared" si="1"/>
        <v>80.705749999999995</v>
      </c>
      <c r="K17" s="2"/>
      <c r="M17" s="52"/>
    </row>
    <row r="18" spans="1:13" outlineLevel="1">
      <c r="A18" s="3"/>
      <c r="B18" s="53" t="s">
        <v>181</v>
      </c>
      <c r="C18" s="56"/>
      <c r="D18" s="51">
        <v>1</v>
      </c>
      <c r="E18" s="69">
        <v>0.87</v>
      </c>
      <c r="F18" s="69"/>
      <c r="G18" s="69">
        <v>2.2000000000000002</v>
      </c>
      <c r="H18" s="69">
        <v>-2</v>
      </c>
      <c r="I18" s="69">
        <f t="shared" si="0"/>
        <v>-3.8280000000000003</v>
      </c>
      <c r="J18" s="69">
        <f t="shared" si="1"/>
        <v>-3.8280000000000003</v>
      </c>
      <c r="K18" s="2"/>
      <c r="M18" s="52"/>
    </row>
    <row r="19" spans="1:13" outlineLevel="1">
      <c r="A19" s="3"/>
      <c r="B19" s="53" t="s">
        <v>182</v>
      </c>
      <c r="C19" s="56"/>
      <c r="D19" s="51">
        <v>1</v>
      </c>
      <c r="E19" s="69">
        <v>0.77</v>
      </c>
      <c r="F19" s="69"/>
      <c r="G19" s="69">
        <v>2.2000000000000002</v>
      </c>
      <c r="H19" s="69">
        <v>-1</v>
      </c>
      <c r="I19" s="69">
        <f t="shared" si="0"/>
        <v>-1.6940000000000002</v>
      </c>
      <c r="J19" s="69">
        <f t="shared" si="1"/>
        <v>-1.6940000000000002</v>
      </c>
      <c r="K19" s="2"/>
      <c r="M19" s="52"/>
    </row>
    <row r="20" spans="1:13" outlineLevel="1">
      <c r="A20" s="3"/>
      <c r="B20" s="53" t="s">
        <v>183</v>
      </c>
      <c r="C20" s="56"/>
      <c r="D20" s="51">
        <v>1</v>
      </c>
      <c r="E20" s="69">
        <v>0.77</v>
      </c>
      <c r="F20" s="69"/>
      <c r="G20" s="69">
        <v>2.2000000000000002</v>
      </c>
      <c r="H20" s="69">
        <v>-1</v>
      </c>
      <c r="I20" s="69">
        <f t="shared" si="0"/>
        <v>-1.6940000000000002</v>
      </c>
      <c r="J20" s="69">
        <f t="shared" si="1"/>
        <v>-1.6940000000000002</v>
      </c>
      <c r="K20" s="2"/>
      <c r="M20" s="52"/>
    </row>
    <row r="21" spans="1:13" outlineLevel="1">
      <c r="A21" s="3"/>
      <c r="B21" s="53" t="s">
        <v>185</v>
      </c>
      <c r="C21" s="56"/>
      <c r="D21" s="51">
        <v>1</v>
      </c>
      <c r="E21" s="69">
        <v>1.1000000000000001</v>
      </c>
      <c r="F21" s="69"/>
      <c r="G21" s="69">
        <v>2.2000000000000002</v>
      </c>
      <c r="H21" s="69">
        <v>-1</v>
      </c>
      <c r="I21" s="69">
        <f t="shared" si="0"/>
        <v>-2.4200000000000004</v>
      </c>
      <c r="J21" s="69">
        <f t="shared" si="1"/>
        <v>-2.4200000000000004</v>
      </c>
      <c r="K21" s="2"/>
      <c r="M21" s="52"/>
    </row>
    <row r="22" spans="1:13" outlineLevel="1">
      <c r="A22" s="3"/>
      <c r="B22" s="53" t="s">
        <v>184</v>
      </c>
      <c r="C22" s="56"/>
      <c r="D22" s="51">
        <v>1</v>
      </c>
      <c r="E22" s="69">
        <v>2.1</v>
      </c>
      <c r="F22" s="69"/>
      <c r="G22" s="69">
        <v>2.2000000000000002</v>
      </c>
      <c r="H22" s="69">
        <v>-1</v>
      </c>
      <c r="I22" s="69">
        <f t="shared" si="0"/>
        <v>-4.620000000000001</v>
      </c>
      <c r="J22" s="69">
        <f t="shared" si="1"/>
        <v>-4.620000000000001</v>
      </c>
      <c r="K22" s="2"/>
      <c r="M22" s="52"/>
    </row>
    <row r="23" spans="1:13" ht="43.5" outlineLevel="1">
      <c r="A23" s="3"/>
      <c r="B23" s="32" t="s">
        <v>192</v>
      </c>
      <c r="C23" s="54" t="s">
        <v>12</v>
      </c>
      <c r="D23" s="3">
        <v>18</v>
      </c>
      <c r="E23" s="66"/>
      <c r="F23" s="66"/>
      <c r="G23" s="66"/>
      <c r="H23" s="66"/>
      <c r="I23" s="67">
        <f>+SUM(I24:I35)</f>
        <v>103.77199999999998</v>
      </c>
      <c r="J23" s="67">
        <f>+D23*I23</f>
        <v>1867.8959999999995</v>
      </c>
      <c r="K23" s="2"/>
      <c r="M23" s="52"/>
    </row>
    <row r="24" spans="1:13" outlineLevel="1">
      <c r="A24" s="3"/>
      <c r="B24" s="53" t="s">
        <v>177</v>
      </c>
      <c r="C24" s="56"/>
      <c r="D24" s="51">
        <v>1</v>
      </c>
      <c r="E24" s="69">
        <f>(3050+3000+3050)/1000</f>
        <v>9.1</v>
      </c>
      <c r="F24" s="69"/>
      <c r="G24" s="69">
        <v>2.65</v>
      </c>
      <c r="H24" s="69">
        <v>1</v>
      </c>
      <c r="I24" s="69">
        <f t="shared" ref="I24:I35" si="2">PRODUCT(E24:H24)</f>
        <v>24.114999999999998</v>
      </c>
      <c r="J24" s="69">
        <f t="shared" ref="J24:J36" si="3">I24*D24</f>
        <v>24.114999999999998</v>
      </c>
      <c r="K24" s="2" t="s">
        <v>198</v>
      </c>
      <c r="M24" s="52"/>
    </row>
    <row r="25" spans="1:13" outlineLevel="1">
      <c r="A25" s="3"/>
      <c r="B25" s="53" t="s">
        <v>181</v>
      </c>
      <c r="C25" s="56"/>
      <c r="D25" s="51">
        <v>1</v>
      </c>
      <c r="E25" s="69">
        <v>0.87</v>
      </c>
      <c r="F25" s="69"/>
      <c r="G25" s="69">
        <v>2.2000000000000002</v>
      </c>
      <c r="H25" s="69">
        <v>-1</v>
      </c>
      <c r="I25" s="69">
        <f t="shared" si="2"/>
        <v>-1.9140000000000001</v>
      </c>
      <c r="J25" s="69">
        <f t="shared" si="3"/>
        <v>-1.9140000000000001</v>
      </c>
      <c r="K25" s="2"/>
      <c r="M25" s="52"/>
    </row>
    <row r="26" spans="1:13" outlineLevel="1">
      <c r="A26" s="3"/>
      <c r="B26" s="53" t="s">
        <v>179</v>
      </c>
      <c r="C26" s="56"/>
      <c r="D26" s="51">
        <v>1</v>
      </c>
      <c r="E26" s="69">
        <f>(2770+2550+1450+1205+4320+1040)/1000</f>
        <v>13.335000000000001</v>
      </c>
      <c r="F26" s="69"/>
      <c r="G26" s="69">
        <v>2.65</v>
      </c>
      <c r="H26" s="69">
        <v>1</v>
      </c>
      <c r="I26" s="69">
        <f t="shared" si="2"/>
        <v>35.33775</v>
      </c>
      <c r="J26" s="69">
        <f t="shared" si="3"/>
        <v>35.33775</v>
      </c>
      <c r="K26" s="2"/>
      <c r="M26" s="52"/>
    </row>
    <row r="27" spans="1:13" outlineLevel="1">
      <c r="A27" s="3"/>
      <c r="B27" s="53" t="s">
        <v>181</v>
      </c>
      <c r="C27" s="56"/>
      <c r="D27" s="51">
        <v>1</v>
      </c>
      <c r="E27" s="69">
        <v>0.87</v>
      </c>
      <c r="F27" s="69"/>
      <c r="G27" s="69">
        <v>2.2000000000000002</v>
      </c>
      <c r="H27" s="69">
        <v>-1</v>
      </c>
      <c r="I27" s="69">
        <f t="shared" si="2"/>
        <v>-1.9140000000000001</v>
      </c>
      <c r="J27" s="69">
        <f t="shared" si="3"/>
        <v>-1.9140000000000001</v>
      </c>
      <c r="K27" s="2"/>
      <c r="M27" s="52"/>
    </row>
    <row r="28" spans="1:13" outlineLevel="1">
      <c r="A28" s="3"/>
      <c r="B28" s="53" t="s">
        <v>183</v>
      </c>
      <c r="C28" s="56"/>
      <c r="D28" s="51">
        <v>1</v>
      </c>
      <c r="E28" s="69">
        <v>0.77</v>
      </c>
      <c r="F28" s="69"/>
      <c r="G28" s="69">
        <v>2.2000000000000002</v>
      </c>
      <c r="H28" s="69">
        <v>-1</v>
      </c>
      <c r="I28" s="69">
        <f t="shared" si="2"/>
        <v>-1.6940000000000002</v>
      </c>
      <c r="J28" s="69">
        <f t="shared" si="3"/>
        <v>-1.6940000000000002</v>
      </c>
      <c r="K28" s="2"/>
      <c r="M28" s="52"/>
    </row>
    <row r="29" spans="1:13" outlineLevel="1">
      <c r="A29" s="3"/>
      <c r="B29" s="53" t="s">
        <v>187</v>
      </c>
      <c r="C29" s="56"/>
      <c r="D29" s="51">
        <v>1</v>
      </c>
      <c r="E29" s="69">
        <v>0.9</v>
      </c>
      <c r="F29" s="69"/>
      <c r="G29" s="69">
        <f>0.85*2</f>
        <v>1.7</v>
      </c>
      <c r="H29" s="69">
        <v>-1</v>
      </c>
      <c r="I29" s="69">
        <f t="shared" si="2"/>
        <v>-1.53</v>
      </c>
      <c r="J29" s="69">
        <f t="shared" si="3"/>
        <v>-1.53</v>
      </c>
      <c r="K29" s="2"/>
      <c r="M29" s="52"/>
    </row>
    <row r="30" spans="1:13" outlineLevel="1">
      <c r="A30" s="3"/>
      <c r="B30" s="53" t="s">
        <v>180</v>
      </c>
      <c r="C30" s="56"/>
      <c r="D30" s="51">
        <v>1</v>
      </c>
      <c r="E30" s="69">
        <f>(1330+3855+2840+950+3100+2150+2850+3590+1450+2650)/1000</f>
        <v>24.765000000000001</v>
      </c>
      <c r="F30" s="69"/>
      <c r="G30" s="69">
        <v>2.65</v>
      </c>
      <c r="H30" s="69">
        <v>1</v>
      </c>
      <c r="I30" s="69">
        <f t="shared" si="2"/>
        <v>65.627250000000004</v>
      </c>
      <c r="J30" s="69">
        <f t="shared" si="3"/>
        <v>65.627250000000004</v>
      </c>
      <c r="K30" s="2"/>
      <c r="M30" s="52"/>
    </row>
    <row r="31" spans="1:13" outlineLevel="1">
      <c r="A31" s="3"/>
      <c r="B31" s="53" t="s">
        <v>185</v>
      </c>
      <c r="C31" s="56"/>
      <c r="D31" s="51">
        <v>1</v>
      </c>
      <c r="E31" s="69">
        <v>1.1000000000000001</v>
      </c>
      <c r="F31" s="69"/>
      <c r="G31" s="69">
        <v>2.2000000000000002</v>
      </c>
      <c r="H31" s="69">
        <v>-1</v>
      </c>
      <c r="I31" s="69">
        <f t="shared" si="2"/>
        <v>-2.4200000000000004</v>
      </c>
      <c r="J31" s="69">
        <f t="shared" si="3"/>
        <v>-2.4200000000000004</v>
      </c>
      <c r="K31" s="2"/>
      <c r="M31" s="52"/>
    </row>
    <row r="32" spans="1:13" outlineLevel="1">
      <c r="A32" s="3"/>
      <c r="B32" s="53" t="s">
        <v>181</v>
      </c>
      <c r="C32" s="56"/>
      <c r="D32" s="51">
        <v>1</v>
      </c>
      <c r="E32" s="69">
        <v>0.87</v>
      </c>
      <c r="F32" s="69"/>
      <c r="G32" s="69">
        <v>2.2000000000000002</v>
      </c>
      <c r="H32" s="69">
        <v>-2</v>
      </c>
      <c r="I32" s="69">
        <f t="shared" si="2"/>
        <v>-3.8280000000000003</v>
      </c>
      <c r="J32" s="69">
        <f t="shared" si="3"/>
        <v>-3.8280000000000003</v>
      </c>
      <c r="K32" s="2"/>
      <c r="M32" s="52"/>
    </row>
    <row r="33" spans="1:13" outlineLevel="1">
      <c r="A33" s="3"/>
      <c r="B33" s="53" t="s">
        <v>188</v>
      </c>
      <c r="C33" s="56"/>
      <c r="D33" s="51">
        <v>1</v>
      </c>
      <c r="E33" s="69">
        <v>0.77</v>
      </c>
      <c r="F33" s="69"/>
      <c r="G33" s="69">
        <v>2.2000000000000002</v>
      </c>
      <c r="H33" s="69">
        <v>-1</v>
      </c>
      <c r="I33" s="69">
        <f t="shared" si="2"/>
        <v>-1.6940000000000002</v>
      </c>
      <c r="J33" s="69">
        <f t="shared" si="3"/>
        <v>-1.6940000000000002</v>
      </c>
      <c r="K33" s="2"/>
      <c r="M33" s="52"/>
    </row>
    <row r="34" spans="1:13" outlineLevel="1">
      <c r="A34" s="3"/>
      <c r="B34" s="53" t="s">
        <v>184</v>
      </c>
      <c r="C34" s="56"/>
      <c r="D34" s="51">
        <v>1</v>
      </c>
      <c r="E34" s="69">
        <v>2.1</v>
      </c>
      <c r="F34" s="69"/>
      <c r="G34" s="69">
        <v>2.2000000000000002</v>
      </c>
      <c r="H34" s="69">
        <v>-1</v>
      </c>
      <c r="I34" s="69">
        <f t="shared" si="2"/>
        <v>-4.620000000000001</v>
      </c>
      <c r="J34" s="69">
        <f t="shared" si="3"/>
        <v>-4.620000000000001</v>
      </c>
      <c r="K34" s="2"/>
      <c r="M34" s="52"/>
    </row>
    <row r="35" spans="1:13" outlineLevel="1">
      <c r="A35" s="3"/>
      <c r="B35" s="53" t="s">
        <v>183</v>
      </c>
      <c r="C35" s="56"/>
      <c r="D35" s="51">
        <v>1</v>
      </c>
      <c r="E35" s="69">
        <v>0.77</v>
      </c>
      <c r="F35" s="69"/>
      <c r="G35" s="69">
        <v>2.2000000000000002</v>
      </c>
      <c r="H35" s="69">
        <v>-1</v>
      </c>
      <c r="I35" s="69">
        <f t="shared" si="2"/>
        <v>-1.6940000000000002</v>
      </c>
      <c r="J35" s="69">
        <f t="shared" si="3"/>
        <v>-1.6940000000000002</v>
      </c>
      <c r="K35" s="2"/>
      <c r="M35" s="52"/>
    </row>
    <row r="36" spans="1:13" outlineLevel="1">
      <c r="A36" s="3"/>
      <c r="B36" s="32" t="s">
        <v>191</v>
      </c>
      <c r="C36" s="54" t="s">
        <v>12</v>
      </c>
      <c r="D36" s="3">
        <v>2</v>
      </c>
      <c r="E36" s="66"/>
      <c r="F36" s="66"/>
      <c r="G36" s="66"/>
      <c r="H36" s="66"/>
      <c r="I36" s="67">
        <f>+SUM(I37:I47)</f>
        <v>107.50374999999998</v>
      </c>
      <c r="J36" s="67">
        <f t="shared" si="3"/>
        <v>215.00749999999996</v>
      </c>
      <c r="K36" s="2" t="s">
        <v>200</v>
      </c>
      <c r="M36" s="52"/>
    </row>
    <row r="37" spans="1:13" outlineLevel="1">
      <c r="A37" s="2"/>
      <c r="B37" s="62" t="s">
        <v>177</v>
      </c>
      <c r="C37" s="55"/>
      <c r="D37" s="2">
        <v>1</v>
      </c>
      <c r="E37" s="70">
        <f>(2755+2000+1045+1070+4850)/1000</f>
        <v>11.72</v>
      </c>
      <c r="F37" s="70"/>
      <c r="G37" s="70">
        <v>2.65</v>
      </c>
      <c r="H37" s="70">
        <v>1</v>
      </c>
      <c r="I37" s="69">
        <f t="shared" ref="I37:I39" si="4">PRODUCT(E37:H37)</f>
        <v>31.058</v>
      </c>
      <c r="J37" s="69">
        <f t="shared" ref="J37:J39" si="5">I37*D37</f>
        <v>31.058</v>
      </c>
      <c r="K37" s="2"/>
      <c r="M37" s="52"/>
    </row>
    <row r="38" spans="1:13" outlineLevel="1">
      <c r="A38" s="3"/>
      <c r="B38" s="53" t="s">
        <v>181</v>
      </c>
      <c r="C38" s="56"/>
      <c r="D38" s="51">
        <v>1</v>
      </c>
      <c r="E38" s="69">
        <v>0.87</v>
      </c>
      <c r="F38" s="69"/>
      <c r="G38" s="69">
        <v>2.2000000000000002</v>
      </c>
      <c r="H38" s="69">
        <v>-1</v>
      </c>
      <c r="I38" s="69">
        <f t="shared" si="4"/>
        <v>-1.9140000000000001</v>
      </c>
      <c r="J38" s="69">
        <f t="shared" si="5"/>
        <v>-1.9140000000000001</v>
      </c>
      <c r="K38" s="2"/>
      <c r="M38" s="52"/>
    </row>
    <row r="39" spans="1:13" outlineLevel="1">
      <c r="A39" s="3"/>
      <c r="B39" s="53" t="s">
        <v>183</v>
      </c>
      <c r="C39" s="56"/>
      <c r="D39" s="51">
        <v>1</v>
      </c>
      <c r="E39" s="69">
        <v>0.77</v>
      </c>
      <c r="F39" s="69"/>
      <c r="G39" s="69">
        <v>2.2000000000000002</v>
      </c>
      <c r="H39" s="69">
        <v>-1</v>
      </c>
      <c r="I39" s="69">
        <f t="shared" si="4"/>
        <v>-1.6940000000000002</v>
      </c>
      <c r="J39" s="69">
        <f t="shared" si="5"/>
        <v>-1.6940000000000002</v>
      </c>
      <c r="K39" s="2"/>
      <c r="M39" s="52"/>
    </row>
    <row r="40" spans="1:13" outlineLevel="1">
      <c r="A40" s="2"/>
      <c r="B40" s="62" t="s">
        <v>179</v>
      </c>
      <c r="C40" s="55"/>
      <c r="D40" s="2">
        <v>1</v>
      </c>
      <c r="E40" s="70">
        <f>(4005+2830+3590+2830)/1000</f>
        <v>13.255000000000001</v>
      </c>
      <c r="F40" s="70"/>
      <c r="G40" s="70">
        <v>2.65</v>
      </c>
      <c r="H40" s="70">
        <v>1</v>
      </c>
      <c r="I40" s="69">
        <f t="shared" ref="I40:I47" si="6">PRODUCT(E40:H40)</f>
        <v>35.125750000000004</v>
      </c>
      <c r="J40" s="69">
        <f t="shared" ref="J40:J48" si="7">I40*D40</f>
        <v>35.125750000000004</v>
      </c>
      <c r="K40" s="2"/>
      <c r="M40" s="52"/>
    </row>
    <row r="41" spans="1:13" outlineLevel="1">
      <c r="A41" s="3"/>
      <c r="B41" s="53" t="s">
        <v>181</v>
      </c>
      <c r="C41" s="56"/>
      <c r="D41" s="51">
        <v>1</v>
      </c>
      <c r="E41" s="69">
        <v>0.87</v>
      </c>
      <c r="F41" s="69"/>
      <c r="G41" s="69">
        <v>2.2000000000000002</v>
      </c>
      <c r="H41" s="69">
        <v>-1</v>
      </c>
      <c r="I41" s="69">
        <f t="shared" si="6"/>
        <v>-1.9140000000000001</v>
      </c>
      <c r="J41" s="69">
        <f t="shared" si="7"/>
        <v>-1.9140000000000001</v>
      </c>
      <c r="K41" s="2"/>
      <c r="M41" s="52"/>
    </row>
    <row r="42" spans="1:13" outlineLevel="1">
      <c r="A42" s="3"/>
      <c r="B42" s="53" t="s">
        <v>184</v>
      </c>
      <c r="C42" s="56"/>
      <c r="D42" s="51">
        <v>1</v>
      </c>
      <c r="E42" s="69">
        <v>2.1</v>
      </c>
      <c r="F42" s="69"/>
      <c r="G42" s="69">
        <v>2.2000000000000002</v>
      </c>
      <c r="H42" s="69">
        <v>-1</v>
      </c>
      <c r="I42" s="69">
        <f t="shared" si="6"/>
        <v>-4.620000000000001</v>
      </c>
      <c r="J42" s="69">
        <f t="shared" si="7"/>
        <v>-4.620000000000001</v>
      </c>
      <c r="K42" s="2"/>
      <c r="M42" s="52"/>
    </row>
    <row r="43" spans="1:13" outlineLevel="1">
      <c r="A43" s="2"/>
      <c r="B43" s="62" t="s">
        <v>180</v>
      </c>
      <c r="C43" s="55"/>
      <c r="D43" s="2">
        <v>1</v>
      </c>
      <c r="E43" s="70">
        <f>(5980+1450+1170+955+1170+3950+3050+4105+2330)/1000</f>
        <v>24.16</v>
      </c>
      <c r="F43" s="70"/>
      <c r="G43" s="70">
        <v>2.65</v>
      </c>
      <c r="H43" s="70">
        <v>1</v>
      </c>
      <c r="I43" s="69">
        <f t="shared" si="6"/>
        <v>64.024000000000001</v>
      </c>
      <c r="J43" s="69">
        <f t="shared" si="7"/>
        <v>64.024000000000001</v>
      </c>
      <c r="K43" s="2"/>
      <c r="M43" s="52"/>
    </row>
    <row r="44" spans="1:13" outlineLevel="1">
      <c r="A44" s="3"/>
      <c r="B44" s="53" t="s">
        <v>185</v>
      </c>
      <c r="C44" s="56"/>
      <c r="D44" s="51">
        <v>1</v>
      </c>
      <c r="E44" s="69">
        <v>1.1000000000000001</v>
      </c>
      <c r="F44" s="69"/>
      <c r="G44" s="69">
        <v>2.2000000000000002</v>
      </c>
      <c r="H44" s="69">
        <v>-1</v>
      </c>
      <c r="I44" s="69">
        <f t="shared" si="6"/>
        <v>-2.4200000000000004</v>
      </c>
      <c r="J44" s="69">
        <f t="shared" si="7"/>
        <v>-2.4200000000000004</v>
      </c>
      <c r="K44" s="2"/>
      <c r="M44" s="52"/>
    </row>
    <row r="45" spans="1:13" outlineLevel="1">
      <c r="A45" s="3"/>
      <c r="B45" s="53" t="s">
        <v>181</v>
      </c>
      <c r="C45" s="56"/>
      <c r="D45" s="51">
        <v>1</v>
      </c>
      <c r="E45" s="69">
        <v>0.87</v>
      </c>
      <c r="F45" s="69"/>
      <c r="G45" s="69">
        <v>2.2000000000000002</v>
      </c>
      <c r="H45" s="69">
        <v>-2</v>
      </c>
      <c r="I45" s="69">
        <f t="shared" si="6"/>
        <v>-3.8280000000000003</v>
      </c>
      <c r="J45" s="69">
        <f t="shared" si="7"/>
        <v>-3.8280000000000003</v>
      </c>
      <c r="K45" s="2"/>
      <c r="M45" s="52"/>
    </row>
    <row r="46" spans="1:13" outlineLevel="1">
      <c r="A46" s="3"/>
      <c r="B46" s="53" t="s">
        <v>183</v>
      </c>
      <c r="C46" s="56"/>
      <c r="D46" s="51">
        <v>1</v>
      </c>
      <c r="E46" s="69">
        <v>0.77</v>
      </c>
      <c r="F46" s="69"/>
      <c r="G46" s="69">
        <v>2.2000000000000002</v>
      </c>
      <c r="H46" s="69">
        <v>-1</v>
      </c>
      <c r="I46" s="69">
        <f t="shared" si="6"/>
        <v>-1.6940000000000002</v>
      </c>
      <c r="J46" s="69">
        <f t="shared" si="7"/>
        <v>-1.6940000000000002</v>
      </c>
      <c r="K46" s="2"/>
      <c r="M46" s="52"/>
    </row>
    <row r="47" spans="1:13" outlineLevel="1">
      <c r="A47" s="3"/>
      <c r="B47" s="53" t="s">
        <v>184</v>
      </c>
      <c r="C47" s="56"/>
      <c r="D47" s="51">
        <v>1</v>
      </c>
      <c r="E47" s="69">
        <v>2.1</v>
      </c>
      <c r="F47" s="69"/>
      <c r="G47" s="69">
        <v>2.2000000000000002</v>
      </c>
      <c r="H47" s="69">
        <v>-1</v>
      </c>
      <c r="I47" s="69">
        <f t="shared" si="6"/>
        <v>-4.620000000000001</v>
      </c>
      <c r="J47" s="69">
        <f t="shared" si="7"/>
        <v>-4.620000000000001</v>
      </c>
      <c r="K47" s="2"/>
      <c r="M47" s="52"/>
    </row>
    <row r="48" spans="1:13" outlineLevel="1">
      <c r="A48" s="3"/>
      <c r="B48" s="32" t="s">
        <v>193</v>
      </c>
      <c r="C48" s="54"/>
      <c r="D48" s="3">
        <v>4</v>
      </c>
      <c r="E48" s="66"/>
      <c r="F48" s="66"/>
      <c r="G48" s="66"/>
      <c r="H48" s="66"/>
      <c r="I48" s="67">
        <f>+SUM(I49:I59)</f>
        <v>93.75324999999998</v>
      </c>
      <c r="J48" s="67">
        <f t="shared" si="7"/>
        <v>375.01299999999992</v>
      </c>
      <c r="K48" s="2" t="s">
        <v>202</v>
      </c>
      <c r="M48" s="52"/>
    </row>
    <row r="49" spans="1:13" outlineLevel="1">
      <c r="A49" s="2"/>
      <c r="B49" s="62" t="s">
        <v>177</v>
      </c>
      <c r="C49" s="55"/>
      <c r="D49" s="2">
        <v>1</v>
      </c>
      <c r="E49" s="70">
        <f>(4850+2800)/1000</f>
        <v>7.65</v>
      </c>
      <c r="F49" s="70"/>
      <c r="G49" s="70">
        <v>2.65</v>
      </c>
      <c r="H49" s="70">
        <v>1</v>
      </c>
      <c r="I49" s="69">
        <f t="shared" ref="I49:I59" si="8">PRODUCT(E49:H49)</f>
        <v>20.272500000000001</v>
      </c>
      <c r="J49" s="69">
        <f t="shared" ref="J49:J59" si="9">I49*D49</f>
        <v>20.272500000000001</v>
      </c>
      <c r="K49" s="2"/>
      <c r="M49" s="52"/>
    </row>
    <row r="50" spans="1:13" outlineLevel="1">
      <c r="A50" s="3"/>
      <c r="B50" s="53" t="s">
        <v>181</v>
      </c>
      <c r="C50" s="56"/>
      <c r="D50" s="51">
        <v>1</v>
      </c>
      <c r="E50" s="69">
        <v>0.87</v>
      </c>
      <c r="F50" s="69"/>
      <c r="G50" s="69">
        <v>2.2000000000000002</v>
      </c>
      <c r="H50" s="69">
        <v>-1</v>
      </c>
      <c r="I50" s="69">
        <f t="shared" si="8"/>
        <v>-1.9140000000000001</v>
      </c>
      <c r="J50" s="69">
        <f t="shared" si="9"/>
        <v>-1.9140000000000001</v>
      </c>
      <c r="K50" s="2"/>
      <c r="M50" s="52"/>
    </row>
    <row r="51" spans="1:13" outlineLevel="1">
      <c r="A51" s="2"/>
      <c r="B51" s="62" t="s">
        <v>179</v>
      </c>
      <c r="C51" s="55"/>
      <c r="D51" s="2">
        <v>1</v>
      </c>
      <c r="E51" s="70">
        <f>(5800+900+1850+2225+1700)/1000</f>
        <v>12.475</v>
      </c>
      <c r="F51" s="70"/>
      <c r="G51" s="70">
        <v>2.65</v>
      </c>
      <c r="H51" s="70">
        <v>1</v>
      </c>
      <c r="I51" s="69">
        <f t="shared" si="8"/>
        <v>33.058749999999996</v>
      </c>
      <c r="J51" s="69">
        <f t="shared" si="9"/>
        <v>33.058749999999996</v>
      </c>
      <c r="K51" s="2"/>
      <c r="M51" s="52"/>
    </row>
    <row r="52" spans="1:13" outlineLevel="1">
      <c r="A52" s="3"/>
      <c r="B52" s="53" t="s">
        <v>181</v>
      </c>
      <c r="C52" s="56"/>
      <c r="D52" s="51">
        <v>1</v>
      </c>
      <c r="E52" s="69">
        <v>0.87</v>
      </c>
      <c r="F52" s="69"/>
      <c r="G52" s="69">
        <v>2.2000000000000002</v>
      </c>
      <c r="H52" s="69">
        <v>-1</v>
      </c>
      <c r="I52" s="69">
        <f t="shared" ref="I52:I53" si="10">PRODUCT(E52:H52)</f>
        <v>-1.9140000000000001</v>
      </c>
      <c r="J52" s="69">
        <f t="shared" ref="J52:J53" si="11">I52*D52</f>
        <v>-1.9140000000000001</v>
      </c>
      <c r="K52" s="2"/>
      <c r="M52" s="52"/>
    </row>
    <row r="53" spans="1:13" outlineLevel="1">
      <c r="A53" s="3"/>
      <c r="B53" s="53" t="s">
        <v>183</v>
      </c>
      <c r="C53" s="56"/>
      <c r="D53" s="51">
        <v>1</v>
      </c>
      <c r="E53" s="69">
        <v>0.77</v>
      </c>
      <c r="F53" s="69"/>
      <c r="G53" s="69">
        <v>2.2000000000000002</v>
      </c>
      <c r="H53" s="69">
        <v>-1</v>
      </c>
      <c r="I53" s="69">
        <f t="shared" si="10"/>
        <v>-1.6940000000000002</v>
      </c>
      <c r="J53" s="69">
        <f t="shared" si="11"/>
        <v>-1.6940000000000002</v>
      </c>
      <c r="K53" s="2"/>
      <c r="M53" s="52"/>
    </row>
    <row r="54" spans="1:13" outlineLevel="1">
      <c r="A54" s="2"/>
      <c r="B54" s="62" t="s">
        <v>180</v>
      </c>
      <c r="C54" s="55"/>
      <c r="D54" s="2">
        <v>1</v>
      </c>
      <c r="E54" s="70">
        <f>(4500+1750+1800+600+100+4600+3100+6350)/1000</f>
        <v>22.8</v>
      </c>
      <c r="F54" s="70"/>
      <c r="G54" s="70">
        <v>2.65</v>
      </c>
      <c r="H54" s="70">
        <v>1</v>
      </c>
      <c r="I54" s="69">
        <f t="shared" si="8"/>
        <v>60.42</v>
      </c>
      <c r="J54" s="69">
        <f t="shared" si="9"/>
        <v>60.42</v>
      </c>
      <c r="K54" s="2"/>
      <c r="M54" s="52"/>
    </row>
    <row r="55" spans="1:13" outlineLevel="1">
      <c r="A55" s="3"/>
      <c r="B55" s="53" t="s">
        <v>185</v>
      </c>
      <c r="C55" s="56"/>
      <c r="D55" s="51">
        <v>1</v>
      </c>
      <c r="E55" s="69">
        <v>1.1000000000000001</v>
      </c>
      <c r="F55" s="69"/>
      <c r="G55" s="69">
        <v>2.2000000000000002</v>
      </c>
      <c r="H55" s="69">
        <v>-1</v>
      </c>
      <c r="I55" s="69">
        <f t="shared" si="8"/>
        <v>-2.4200000000000004</v>
      </c>
      <c r="J55" s="69">
        <f t="shared" si="9"/>
        <v>-2.4200000000000004</v>
      </c>
      <c r="K55" s="2"/>
      <c r="M55" s="52"/>
    </row>
    <row r="56" spans="1:13" outlineLevel="1">
      <c r="A56" s="3"/>
      <c r="B56" s="53" t="s">
        <v>181</v>
      </c>
      <c r="C56" s="56"/>
      <c r="D56" s="51">
        <v>1</v>
      </c>
      <c r="E56" s="69">
        <v>0.87</v>
      </c>
      <c r="F56" s="69"/>
      <c r="G56" s="69">
        <v>2.2000000000000002</v>
      </c>
      <c r="H56" s="69">
        <v>-2</v>
      </c>
      <c r="I56" s="69">
        <f t="shared" si="8"/>
        <v>-3.8280000000000003</v>
      </c>
      <c r="J56" s="69">
        <f t="shared" si="9"/>
        <v>-3.8280000000000003</v>
      </c>
      <c r="K56" s="2"/>
      <c r="M56" s="52"/>
    </row>
    <row r="57" spans="1:13" outlineLevel="1">
      <c r="A57" s="3"/>
      <c r="B57" s="53" t="s">
        <v>201</v>
      </c>
      <c r="C57" s="56"/>
      <c r="D57" s="51">
        <v>1</v>
      </c>
      <c r="E57" s="69">
        <v>2.2000000000000002</v>
      </c>
      <c r="F57" s="69"/>
      <c r="G57" s="69">
        <v>2.2000000000000002</v>
      </c>
      <c r="H57" s="69">
        <v>-1</v>
      </c>
      <c r="I57" s="69">
        <f t="shared" si="8"/>
        <v>-4.8400000000000007</v>
      </c>
      <c r="J57" s="69">
        <f t="shared" si="9"/>
        <v>-4.8400000000000007</v>
      </c>
      <c r="K57" s="2"/>
      <c r="M57" s="52"/>
    </row>
    <row r="58" spans="1:13" outlineLevel="1">
      <c r="A58" s="3"/>
      <c r="B58" s="53" t="s">
        <v>188</v>
      </c>
      <c r="C58" s="56"/>
      <c r="D58" s="51">
        <v>1</v>
      </c>
      <c r="E58" s="69">
        <v>0.77</v>
      </c>
      <c r="F58" s="69"/>
      <c r="G58" s="69">
        <v>2.2000000000000002</v>
      </c>
      <c r="H58" s="69">
        <v>-1</v>
      </c>
      <c r="I58" s="69">
        <f t="shared" si="8"/>
        <v>-1.6940000000000002</v>
      </c>
      <c r="J58" s="69">
        <f t="shared" si="9"/>
        <v>-1.6940000000000002</v>
      </c>
      <c r="K58" s="2"/>
      <c r="M58" s="52"/>
    </row>
    <row r="59" spans="1:13" outlineLevel="1">
      <c r="A59" s="3"/>
      <c r="B59" s="53" t="s">
        <v>183</v>
      </c>
      <c r="C59" s="56"/>
      <c r="D59" s="51">
        <v>1</v>
      </c>
      <c r="E59" s="69">
        <v>0.77</v>
      </c>
      <c r="F59" s="69"/>
      <c r="G59" s="69">
        <v>2.2000000000000002</v>
      </c>
      <c r="H59" s="69">
        <v>-1</v>
      </c>
      <c r="I59" s="69">
        <f t="shared" si="8"/>
        <v>-1.6940000000000002</v>
      </c>
      <c r="J59" s="69">
        <f t="shared" si="9"/>
        <v>-1.6940000000000002</v>
      </c>
      <c r="K59" s="2"/>
      <c r="M59" s="52"/>
    </row>
    <row r="60" spans="1:13" outlineLevel="1">
      <c r="A60" s="3"/>
      <c r="B60" s="32" t="s">
        <v>194</v>
      </c>
      <c r="C60" s="54"/>
      <c r="D60" s="3">
        <v>2</v>
      </c>
      <c r="E60" s="66"/>
      <c r="F60" s="66"/>
      <c r="G60" s="66"/>
      <c r="H60" s="66"/>
      <c r="I60" s="67">
        <f>+SUM(I61:I70)</f>
        <v>80.321349999999981</v>
      </c>
      <c r="J60" s="67">
        <f>+D60*I60</f>
        <v>160.64269999999996</v>
      </c>
      <c r="K60" s="2"/>
      <c r="M60" s="52"/>
    </row>
    <row r="61" spans="1:13" outlineLevel="1">
      <c r="A61" s="3"/>
      <c r="B61" s="53" t="s">
        <v>177</v>
      </c>
      <c r="C61" s="56"/>
      <c r="D61" s="51">
        <v>1</v>
      </c>
      <c r="E61" s="69">
        <f>(3897+975+897+100+550+2075)/1000</f>
        <v>8.4939999999999998</v>
      </c>
      <c r="F61" s="69"/>
      <c r="G61" s="69">
        <v>2.65</v>
      </c>
      <c r="H61" s="69">
        <v>1</v>
      </c>
      <c r="I61" s="69">
        <f t="shared" ref="I61:I70" si="12">PRODUCT(E61:H61)</f>
        <v>22.5091</v>
      </c>
      <c r="J61" s="69">
        <f t="shared" ref="J61:J71" si="13">I61*D61</f>
        <v>22.5091</v>
      </c>
      <c r="K61" s="2" t="s">
        <v>199</v>
      </c>
      <c r="M61" s="52"/>
    </row>
    <row r="62" spans="1:13" outlineLevel="1">
      <c r="A62" s="3"/>
      <c r="B62" s="53" t="s">
        <v>181</v>
      </c>
      <c r="C62" s="56"/>
      <c r="D62" s="51">
        <v>1</v>
      </c>
      <c r="E62" s="69">
        <v>0.87</v>
      </c>
      <c r="F62" s="69"/>
      <c r="G62" s="69">
        <v>2.2000000000000002</v>
      </c>
      <c r="H62" s="69">
        <v>-1</v>
      </c>
      <c r="I62" s="69">
        <f t="shared" si="12"/>
        <v>-1.9140000000000001</v>
      </c>
      <c r="J62" s="69">
        <f t="shared" si="13"/>
        <v>-1.9140000000000001</v>
      </c>
      <c r="K62" s="2"/>
      <c r="M62" s="52"/>
    </row>
    <row r="63" spans="1:13" outlineLevel="1">
      <c r="A63" s="3"/>
      <c r="B63" s="53" t="s">
        <v>179</v>
      </c>
      <c r="C63" s="56"/>
      <c r="D63" s="51">
        <v>1</v>
      </c>
      <c r="E63" s="69">
        <f>(3000+3355+975+750+2175)/1000</f>
        <v>10.255000000000001</v>
      </c>
      <c r="F63" s="69"/>
      <c r="G63" s="69">
        <v>2.65</v>
      </c>
      <c r="H63" s="69">
        <v>1</v>
      </c>
      <c r="I63" s="69">
        <f t="shared" si="12"/>
        <v>27.175750000000001</v>
      </c>
      <c r="J63" s="69">
        <f t="shared" si="13"/>
        <v>27.175750000000001</v>
      </c>
      <c r="K63" s="2"/>
      <c r="M63" s="52"/>
    </row>
    <row r="64" spans="1:13" outlineLevel="1">
      <c r="A64" s="3"/>
      <c r="B64" s="53" t="s">
        <v>181</v>
      </c>
      <c r="C64" s="56"/>
      <c r="D64" s="51">
        <v>1</v>
      </c>
      <c r="E64" s="69">
        <v>0.87</v>
      </c>
      <c r="F64" s="69"/>
      <c r="G64" s="69">
        <v>2.2000000000000002</v>
      </c>
      <c r="H64" s="69">
        <v>-1</v>
      </c>
      <c r="I64" s="69">
        <f t="shared" si="12"/>
        <v>-1.9140000000000001</v>
      </c>
      <c r="J64" s="69">
        <f t="shared" si="13"/>
        <v>-1.9140000000000001</v>
      </c>
      <c r="K64" s="2"/>
      <c r="M64" s="52"/>
    </row>
    <row r="65" spans="1:13" outlineLevel="1">
      <c r="A65" s="3"/>
      <c r="B65" s="53" t="s">
        <v>186</v>
      </c>
      <c r="C65" s="56"/>
      <c r="D65" s="51">
        <v>1</v>
      </c>
      <c r="E65" s="69">
        <v>1.2</v>
      </c>
      <c r="F65" s="69"/>
      <c r="G65" s="69">
        <v>1.5</v>
      </c>
      <c r="H65" s="69">
        <v>-1</v>
      </c>
      <c r="I65" s="69">
        <f t="shared" si="12"/>
        <v>-1.7999999999999998</v>
      </c>
      <c r="J65" s="69">
        <f t="shared" si="13"/>
        <v>-1.7999999999999998</v>
      </c>
      <c r="K65" s="2"/>
      <c r="M65" s="52"/>
    </row>
    <row r="66" spans="1:13" outlineLevel="1">
      <c r="A66" s="3"/>
      <c r="B66" s="53" t="s">
        <v>180</v>
      </c>
      <c r="C66" s="56"/>
      <c r="D66" s="51">
        <v>1</v>
      </c>
      <c r="E66" s="69">
        <f>(2505+3455+1075+1103+1075+2697+2950+3590)/1000</f>
        <v>18.45</v>
      </c>
      <c r="F66" s="69"/>
      <c r="G66" s="69">
        <v>2.65</v>
      </c>
      <c r="H66" s="69">
        <v>1</v>
      </c>
      <c r="I66" s="69">
        <f t="shared" si="12"/>
        <v>48.892499999999998</v>
      </c>
      <c r="J66" s="69">
        <f t="shared" si="13"/>
        <v>48.892499999999998</v>
      </c>
      <c r="K66" s="2"/>
      <c r="M66" s="52"/>
    </row>
    <row r="67" spans="1:13" outlineLevel="1">
      <c r="A67" s="3"/>
      <c r="B67" s="53" t="s">
        <v>185</v>
      </c>
      <c r="C67" s="56"/>
      <c r="D67" s="51">
        <v>1</v>
      </c>
      <c r="E67" s="69">
        <v>1.1000000000000001</v>
      </c>
      <c r="F67" s="69"/>
      <c r="G67" s="69">
        <v>2.2000000000000002</v>
      </c>
      <c r="H67" s="69">
        <v>-1</v>
      </c>
      <c r="I67" s="69">
        <f t="shared" si="12"/>
        <v>-2.4200000000000004</v>
      </c>
      <c r="J67" s="69">
        <f t="shared" si="13"/>
        <v>-2.4200000000000004</v>
      </c>
      <c r="K67" s="2"/>
      <c r="M67" s="52"/>
    </row>
    <row r="68" spans="1:13" outlineLevel="1">
      <c r="A68" s="3"/>
      <c r="B68" s="53" t="s">
        <v>181</v>
      </c>
      <c r="C68" s="56"/>
      <c r="D68" s="51">
        <v>1</v>
      </c>
      <c r="E68" s="69">
        <v>0.87</v>
      </c>
      <c r="F68" s="69"/>
      <c r="G68" s="69">
        <v>2.2000000000000002</v>
      </c>
      <c r="H68" s="69">
        <v>-2</v>
      </c>
      <c r="I68" s="69">
        <f t="shared" si="12"/>
        <v>-3.8280000000000003</v>
      </c>
      <c r="J68" s="69">
        <f t="shared" si="13"/>
        <v>-3.8280000000000003</v>
      </c>
      <c r="K68" s="2"/>
      <c r="M68" s="52"/>
    </row>
    <row r="69" spans="1:13" outlineLevel="1">
      <c r="A69" s="3"/>
      <c r="B69" s="53" t="s">
        <v>184</v>
      </c>
      <c r="C69" s="56"/>
      <c r="D69" s="51">
        <v>1</v>
      </c>
      <c r="E69" s="69">
        <v>2.1</v>
      </c>
      <c r="F69" s="69"/>
      <c r="G69" s="69">
        <v>2.2000000000000002</v>
      </c>
      <c r="H69" s="69">
        <v>-1</v>
      </c>
      <c r="I69" s="69">
        <f t="shared" si="12"/>
        <v>-4.620000000000001</v>
      </c>
      <c r="J69" s="69">
        <f t="shared" si="13"/>
        <v>-4.620000000000001</v>
      </c>
      <c r="K69" s="2"/>
      <c r="M69" s="52"/>
    </row>
    <row r="70" spans="1:13" outlineLevel="1">
      <c r="A70" s="3"/>
      <c r="B70" s="53" t="s">
        <v>189</v>
      </c>
      <c r="C70" s="56"/>
      <c r="D70" s="51">
        <v>1</v>
      </c>
      <c r="E70" s="69">
        <v>0.8</v>
      </c>
      <c r="F70" s="69"/>
      <c r="G70" s="69">
        <v>2.2000000000000002</v>
      </c>
      <c r="H70" s="69">
        <v>-1</v>
      </c>
      <c r="I70" s="69">
        <f t="shared" si="12"/>
        <v>-1.7600000000000002</v>
      </c>
      <c r="J70" s="69">
        <f t="shared" si="13"/>
        <v>-1.7600000000000002</v>
      </c>
      <c r="K70" s="2"/>
      <c r="M70" s="52"/>
    </row>
    <row r="71" spans="1:13" outlineLevel="1">
      <c r="A71" s="3"/>
      <c r="B71" s="32" t="s">
        <v>195</v>
      </c>
      <c r="C71" s="54"/>
      <c r="D71" s="3">
        <v>2</v>
      </c>
      <c r="E71" s="66"/>
      <c r="F71" s="66"/>
      <c r="G71" s="66"/>
      <c r="H71" s="66"/>
      <c r="I71" s="67">
        <f>+SUM(I72:I78)</f>
        <v>66.69974999999998</v>
      </c>
      <c r="J71" s="67">
        <f t="shared" si="13"/>
        <v>133.39949999999996</v>
      </c>
      <c r="K71" s="2" t="s">
        <v>203</v>
      </c>
      <c r="M71" s="52"/>
    </row>
    <row r="72" spans="1:13" outlineLevel="1">
      <c r="A72" s="2"/>
      <c r="B72" s="62" t="s">
        <v>177</v>
      </c>
      <c r="C72" s="55"/>
      <c r="D72" s="2"/>
      <c r="E72" s="70">
        <f>(3150+4250)/1000</f>
        <v>7.4</v>
      </c>
      <c r="F72" s="70"/>
      <c r="G72" s="70">
        <v>2.65</v>
      </c>
      <c r="H72" s="70">
        <v>1</v>
      </c>
      <c r="I72" s="69">
        <f t="shared" ref="I72:I78" si="14">PRODUCT(E72:H72)</f>
        <v>19.61</v>
      </c>
      <c r="J72" s="69">
        <f t="shared" ref="J72:J79" si="15">I72*D72</f>
        <v>0</v>
      </c>
      <c r="K72" s="2"/>
      <c r="M72" s="52"/>
    </row>
    <row r="73" spans="1:13" outlineLevel="1">
      <c r="A73" s="3"/>
      <c r="B73" s="53" t="s">
        <v>181</v>
      </c>
      <c r="C73" s="56"/>
      <c r="D73" s="51">
        <v>1</v>
      </c>
      <c r="E73" s="69">
        <v>0.87</v>
      </c>
      <c r="F73" s="69"/>
      <c r="G73" s="69">
        <v>2.2000000000000002</v>
      </c>
      <c r="H73" s="69">
        <v>-1</v>
      </c>
      <c r="I73" s="69">
        <f t="shared" si="14"/>
        <v>-1.9140000000000001</v>
      </c>
      <c r="J73" s="69">
        <f t="shared" si="15"/>
        <v>-1.9140000000000001</v>
      </c>
      <c r="K73" s="2"/>
      <c r="M73" s="52"/>
    </row>
    <row r="74" spans="1:13" outlineLevel="1">
      <c r="A74" s="2"/>
      <c r="B74" s="62" t="s">
        <v>180</v>
      </c>
      <c r="C74" s="55"/>
      <c r="D74" s="2">
        <v>1</v>
      </c>
      <c r="E74" s="70">
        <f>(3215+850+265+1615+1400+550+1700+3250+3150+2950+3590)/1000</f>
        <v>22.535</v>
      </c>
      <c r="F74" s="70"/>
      <c r="G74" s="70">
        <v>2.65</v>
      </c>
      <c r="H74" s="70">
        <v>1</v>
      </c>
      <c r="I74" s="69">
        <f t="shared" si="14"/>
        <v>59.717749999999995</v>
      </c>
      <c r="J74" s="69">
        <f t="shared" si="15"/>
        <v>59.717749999999995</v>
      </c>
      <c r="K74" s="2"/>
      <c r="M74" s="52"/>
    </row>
    <row r="75" spans="1:13" outlineLevel="1">
      <c r="A75" s="3"/>
      <c r="B75" s="53" t="s">
        <v>185</v>
      </c>
      <c r="C75" s="56"/>
      <c r="D75" s="51">
        <v>1</v>
      </c>
      <c r="E75" s="69">
        <v>1.1000000000000001</v>
      </c>
      <c r="F75" s="69"/>
      <c r="G75" s="69">
        <v>2.2000000000000002</v>
      </c>
      <c r="H75" s="69">
        <v>-1</v>
      </c>
      <c r="I75" s="69">
        <f t="shared" si="14"/>
        <v>-2.4200000000000004</v>
      </c>
      <c r="J75" s="69">
        <f t="shared" si="15"/>
        <v>-2.4200000000000004</v>
      </c>
      <c r="K75" s="2"/>
      <c r="M75" s="52"/>
    </row>
    <row r="76" spans="1:13" outlineLevel="1">
      <c r="A76" s="3"/>
      <c r="B76" s="53" t="s">
        <v>181</v>
      </c>
      <c r="C76" s="56"/>
      <c r="D76" s="51">
        <v>1</v>
      </c>
      <c r="E76" s="69">
        <v>0.87</v>
      </c>
      <c r="F76" s="69"/>
      <c r="G76" s="69">
        <v>2.2000000000000002</v>
      </c>
      <c r="H76" s="69">
        <v>-1</v>
      </c>
      <c r="I76" s="69">
        <f t="shared" si="14"/>
        <v>-1.9140000000000001</v>
      </c>
      <c r="J76" s="69">
        <f t="shared" si="15"/>
        <v>-1.9140000000000001</v>
      </c>
      <c r="K76" s="2"/>
      <c r="M76" s="52"/>
    </row>
    <row r="77" spans="1:13" outlineLevel="1">
      <c r="A77" s="3"/>
      <c r="B77" s="53" t="s">
        <v>189</v>
      </c>
      <c r="C77" s="56"/>
      <c r="D77" s="51">
        <v>1</v>
      </c>
      <c r="E77" s="69">
        <v>0.8</v>
      </c>
      <c r="F77" s="69"/>
      <c r="G77" s="69">
        <v>2.2000000000000002</v>
      </c>
      <c r="H77" s="69">
        <v>-1</v>
      </c>
      <c r="I77" s="69">
        <f t="shared" si="14"/>
        <v>-1.7600000000000002</v>
      </c>
      <c r="J77" s="69">
        <f t="shared" si="15"/>
        <v>-1.7600000000000002</v>
      </c>
      <c r="K77" s="2"/>
      <c r="M77" s="52"/>
    </row>
    <row r="78" spans="1:13" outlineLevel="1">
      <c r="A78" s="3"/>
      <c r="B78" s="53" t="s">
        <v>184</v>
      </c>
      <c r="C78" s="56"/>
      <c r="D78" s="51">
        <v>1</v>
      </c>
      <c r="E78" s="69">
        <v>2.1</v>
      </c>
      <c r="F78" s="69"/>
      <c r="G78" s="69">
        <v>2.2000000000000002</v>
      </c>
      <c r="H78" s="69">
        <v>-1</v>
      </c>
      <c r="I78" s="69">
        <f t="shared" si="14"/>
        <v>-4.620000000000001</v>
      </c>
      <c r="J78" s="69">
        <f t="shared" si="15"/>
        <v>-4.620000000000001</v>
      </c>
      <c r="K78" s="2"/>
      <c r="M78" s="52"/>
    </row>
    <row r="79" spans="1:13" outlineLevel="1">
      <c r="A79" s="3"/>
      <c r="B79" s="32" t="s">
        <v>196</v>
      </c>
      <c r="C79" s="54"/>
      <c r="D79" s="3">
        <v>2</v>
      </c>
      <c r="E79" s="66"/>
      <c r="F79" s="66"/>
      <c r="G79" s="66"/>
      <c r="H79" s="66"/>
      <c r="I79" s="67">
        <f>+SUM(I80:I90)</f>
        <v>124.47475000000001</v>
      </c>
      <c r="J79" s="67">
        <f t="shared" si="15"/>
        <v>248.94950000000003</v>
      </c>
      <c r="K79" s="2" t="s">
        <v>204</v>
      </c>
      <c r="M79" s="52"/>
    </row>
    <row r="80" spans="1:13" outlineLevel="1">
      <c r="A80" s="2"/>
      <c r="B80" s="62" t="s">
        <v>177</v>
      </c>
      <c r="C80" s="55"/>
      <c r="D80" s="2">
        <v>1</v>
      </c>
      <c r="E80" s="70">
        <f>(4300+900+1000+1900+2850)/1000</f>
        <v>10.95</v>
      </c>
      <c r="F80" s="70"/>
      <c r="G80" s="70">
        <v>2.65</v>
      </c>
      <c r="H80" s="70">
        <v>1</v>
      </c>
      <c r="I80" s="69">
        <f t="shared" ref="I80:I87" si="16">PRODUCT(E80:H80)</f>
        <v>29.017499999999998</v>
      </c>
      <c r="J80" s="69">
        <f t="shared" ref="J80:J87" si="17">I80*D80</f>
        <v>29.017499999999998</v>
      </c>
      <c r="K80" s="2"/>
      <c r="M80" s="52"/>
    </row>
    <row r="81" spans="1:14" outlineLevel="1">
      <c r="A81" s="2"/>
      <c r="B81" s="53" t="s">
        <v>181</v>
      </c>
      <c r="C81" s="56"/>
      <c r="D81" s="51">
        <v>1</v>
      </c>
      <c r="E81" s="69">
        <v>0.87</v>
      </c>
      <c r="F81" s="69"/>
      <c r="G81" s="69">
        <v>2.2000000000000002</v>
      </c>
      <c r="H81" s="69">
        <v>-1</v>
      </c>
      <c r="I81" s="69">
        <f t="shared" si="16"/>
        <v>-1.9140000000000001</v>
      </c>
      <c r="J81" s="69">
        <f t="shared" si="17"/>
        <v>-1.9140000000000001</v>
      </c>
      <c r="K81" s="2"/>
      <c r="M81" s="52"/>
    </row>
    <row r="82" spans="1:14" outlineLevel="1">
      <c r="A82" s="2"/>
      <c r="B82" s="53" t="s">
        <v>183</v>
      </c>
      <c r="C82" s="56"/>
      <c r="D82" s="51">
        <v>1</v>
      </c>
      <c r="E82" s="69">
        <v>0.77</v>
      </c>
      <c r="F82" s="69"/>
      <c r="G82" s="69">
        <v>2.2000000000000002</v>
      </c>
      <c r="H82" s="69">
        <v>-1</v>
      </c>
      <c r="I82" s="69">
        <f t="shared" si="16"/>
        <v>-1.6940000000000002</v>
      </c>
      <c r="J82" s="69">
        <f t="shared" si="17"/>
        <v>-1.6940000000000002</v>
      </c>
      <c r="K82" s="2"/>
      <c r="M82" s="52"/>
    </row>
    <row r="83" spans="1:14" outlineLevel="1">
      <c r="A83" s="2"/>
      <c r="B83" s="62" t="s">
        <v>179</v>
      </c>
      <c r="C83" s="55"/>
      <c r="D83" s="2">
        <v>1</v>
      </c>
      <c r="E83" s="70">
        <f>(2950+3050+2960)/1000</f>
        <v>8.9600000000000009</v>
      </c>
      <c r="F83" s="70"/>
      <c r="G83" s="70">
        <v>2.65</v>
      </c>
      <c r="H83" s="70">
        <v>1</v>
      </c>
      <c r="I83" s="69">
        <f t="shared" si="16"/>
        <v>23.744</v>
      </c>
      <c r="J83" s="69">
        <f t="shared" si="17"/>
        <v>23.744</v>
      </c>
      <c r="K83" s="2"/>
      <c r="M83" s="52"/>
    </row>
    <row r="84" spans="1:14" outlineLevel="1">
      <c r="A84" s="2"/>
      <c r="B84" s="53" t="s">
        <v>181</v>
      </c>
      <c r="C84" s="56"/>
      <c r="D84" s="51">
        <v>1</v>
      </c>
      <c r="E84" s="69">
        <v>0.87</v>
      </c>
      <c r="F84" s="69"/>
      <c r="G84" s="69">
        <v>2.2000000000000002</v>
      </c>
      <c r="H84" s="69">
        <v>-1</v>
      </c>
      <c r="I84" s="69">
        <f t="shared" ref="I84" si="18">PRODUCT(E84:H84)</f>
        <v>-1.9140000000000001</v>
      </c>
      <c r="J84" s="69">
        <f t="shared" ref="J84" si="19">I84*D84</f>
        <v>-1.9140000000000001</v>
      </c>
      <c r="K84" s="2"/>
      <c r="M84" s="52"/>
    </row>
    <row r="85" spans="1:14" outlineLevel="1">
      <c r="A85" s="2"/>
      <c r="B85" s="62" t="s">
        <v>180</v>
      </c>
      <c r="C85" s="55"/>
      <c r="D85" s="2">
        <v>1</v>
      </c>
      <c r="E85" s="70">
        <f>(6915+4300+1150+100+1050+3050+1950+3150+2050+3000+3400+1000+900+1055+1455)/1000</f>
        <v>34.524999999999999</v>
      </c>
      <c r="F85" s="70"/>
      <c r="G85" s="70">
        <v>2.65</v>
      </c>
      <c r="H85" s="70">
        <v>1</v>
      </c>
      <c r="I85" s="69">
        <f t="shared" si="16"/>
        <v>91.491249999999994</v>
      </c>
      <c r="J85" s="69">
        <f t="shared" si="17"/>
        <v>91.491249999999994</v>
      </c>
      <c r="K85" s="2"/>
      <c r="M85" s="52"/>
    </row>
    <row r="86" spans="1:14" outlineLevel="1">
      <c r="A86" s="3"/>
      <c r="B86" s="53" t="s">
        <v>185</v>
      </c>
      <c r="C86" s="56"/>
      <c r="D86" s="51">
        <v>1</v>
      </c>
      <c r="E86" s="69">
        <v>1.1000000000000001</v>
      </c>
      <c r="F86" s="69"/>
      <c r="G86" s="69">
        <v>2.2000000000000002</v>
      </c>
      <c r="H86" s="69">
        <v>-1</v>
      </c>
      <c r="I86" s="69">
        <f t="shared" si="16"/>
        <v>-2.4200000000000004</v>
      </c>
      <c r="J86" s="69">
        <f t="shared" si="17"/>
        <v>-2.4200000000000004</v>
      </c>
      <c r="K86" s="2"/>
      <c r="M86" s="52"/>
    </row>
    <row r="87" spans="1:14" outlineLevel="1">
      <c r="A87" s="3"/>
      <c r="B87" s="53" t="s">
        <v>188</v>
      </c>
      <c r="C87" s="56"/>
      <c r="D87" s="51">
        <v>1</v>
      </c>
      <c r="E87" s="69">
        <v>0.77</v>
      </c>
      <c r="F87" s="69"/>
      <c r="G87" s="69">
        <v>2.2000000000000002</v>
      </c>
      <c r="H87" s="69">
        <v>-1</v>
      </c>
      <c r="I87" s="69">
        <f t="shared" si="16"/>
        <v>-1.6940000000000002</v>
      </c>
      <c r="J87" s="69">
        <f t="shared" si="17"/>
        <v>-1.6940000000000002</v>
      </c>
      <c r="K87" s="2"/>
      <c r="M87" s="52"/>
    </row>
    <row r="88" spans="1:14" outlineLevel="1">
      <c r="A88" s="2"/>
      <c r="B88" s="53" t="s">
        <v>181</v>
      </c>
      <c r="C88" s="56"/>
      <c r="D88" s="51">
        <v>1</v>
      </c>
      <c r="E88" s="69">
        <v>0.87</v>
      </c>
      <c r="F88" s="69"/>
      <c r="G88" s="69">
        <v>2.2000000000000002</v>
      </c>
      <c r="H88" s="69">
        <v>-2</v>
      </c>
      <c r="I88" s="69">
        <f t="shared" ref="I88:I90" si="20">PRODUCT(E88:H88)</f>
        <v>-3.8280000000000003</v>
      </c>
      <c r="J88" s="69">
        <f t="shared" ref="J88:J91" si="21">I88*D88</f>
        <v>-3.8280000000000003</v>
      </c>
      <c r="K88" s="2"/>
      <c r="M88" s="52"/>
    </row>
    <row r="89" spans="1:14" outlineLevel="1">
      <c r="A89" s="3"/>
      <c r="B89" s="53" t="s">
        <v>184</v>
      </c>
      <c r="C89" s="56"/>
      <c r="D89" s="51">
        <v>1</v>
      </c>
      <c r="E89" s="69">
        <v>2.1</v>
      </c>
      <c r="F89" s="69"/>
      <c r="G89" s="69">
        <v>2.2000000000000002</v>
      </c>
      <c r="H89" s="69">
        <v>-1</v>
      </c>
      <c r="I89" s="69">
        <f t="shared" si="20"/>
        <v>-4.620000000000001</v>
      </c>
      <c r="J89" s="69">
        <f t="shared" si="21"/>
        <v>-4.620000000000001</v>
      </c>
      <c r="K89" s="2"/>
      <c r="M89" s="52"/>
    </row>
    <row r="90" spans="1:14" outlineLevel="1">
      <c r="A90" s="2"/>
      <c r="B90" s="53" t="s">
        <v>183</v>
      </c>
      <c r="C90" s="56"/>
      <c r="D90" s="51">
        <v>1</v>
      </c>
      <c r="E90" s="69">
        <v>0.77</v>
      </c>
      <c r="F90" s="69"/>
      <c r="G90" s="69">
        <v>2.2000000000000002</v>
      </c>
      <c r="H90" s="69">
        <v>-1</v>
      </c>
      <c r="I90" s="69">
        <f t="shared" si="20"/>
        <v>-1.6940000000000002</v>
      </c>
      <c r="J90" s="69">
        <f t="shared" si="21"/>
        <v>-1.6940000000000002</v>
      </c>
      <c r="K90" s="2"/>
      <c r="M90" s="52"/>
    </row>
    <row r="91" spans="1:14" s="4" customFormat="1" ht="14.25" outlineLevel="1">
      <c r="A91" s="3"/>
      <c r="B91" s="32" t="s">
        <v>101</v>
      </c>
      <c r="C91" s="54"/>
      <c r="D91" s="3">
        <v>2</v>
      </c>
      <c r="E91" s="66"/>
      <c r="F91" s="66"/>
      <c r="G91" s="66"/>
      <c r="H91" s="66"/>
      <c r="I91" s="67">
        <f>+SUM(I92:I94)</f>
        <v>286.39499999999998</v>
      </c>
      <c r="J91" s="67">
        <f t="shared" si="21"/>
        <v>572.79</v>
      </c>
      <c r="K91" s="3"/>
      <c r="M91" s="63"/>
    </row>
    <row r="92" spans="1:14" outlineLevel="1">
      <c r="A92" s="2"/>
      <c r="B92" s="53" t="s">
        <v>206</v>
      </c>
      <c r="C92" s="56"/>
      <c r="D92" s="51">
        <v>1</v>
      </c>
      <c r="E92" s="69">
        <f>(5600+7100+9050+7100+7100+7100+10100+7100+5600+5600+7200+6050+7100+7100+6050+7100+5600)/1000</f>
        <v>117.65</v>
      </c>
      <c r="F92" s="69"/>
      <c r="G92" s="69">
        <v>2.5</v>
      </c>
      <c r="H92" s="69">
        <v>1</v>
      </c>
      <c r="I92" s="69">
        <f t="shared" ref="I92:I94" si="22">PRODUCT(E92:H92)</f>
        <v>294.125</v>
      </c>
      <c r="J92" s="69">
        <f t="shared" ref="J92:J94" si="23">I92*D92</f>
        <v>294.125</v>
      </c>
      <c r="K92" s="2"/>
      <c r="M92" s="52"/>
    </row>
    <row r="93" spans="1:14" outlineLevel="1">
      <c r="A93" s="2"/>
      <c r="B93" s="53"/>
      <c r="C93" s="56"/>
      <c r="D93" s="51">
        <v>1</v>
      </c>
      <c r="E93" s="69">
        <f>7.65*2</f>
        <v>15.3</v>
      </c>
      <c r="F93" s="69"/>
      <c r="G93" s="69">
        <v>2.5</v>
      </c>
      <c r="H93" s="69">
        <v>1</v>
      </c>
      <c r="I93" s="69">
        <f t="shared" si="22"/>
        <v>38.25</v>
      </c>
      <c r="J93" s="69">
        <f t="shared" si="23"/>
        <v>38.25</v>
      </c>
      <c r="K93" s="2"/>
      <c r="M93" s="52"/>
    </row>
    <row r="94" spans="1:14" outlineLevel="1">
      <c r="A94" s="3"/>
      <c r="B94" s="53" t="s">
        <v>185</v>
      </c>
      <c r="C94" s="56"/>
      <c r="D94" s="51">
        <v>1</v>
      </c>
      <c r="E94" s="69">
        <v>1.1000000000000001</v>
      </c>
      <c r="F94" s="69"/>
      <c r="G94" s="69">
        <v>2.2000000000000002</v>
      </c>
      <c r="H94" s="69">
        <v>-19</v>
      </c>
      <c r="I94" s="69">
        <f t="shared" si="22"/>
        <v>-45.980000000000004</v>
      </c>
      <c r="J94" s="69">
        <f t="shared" si="23"/>
        <v>-45.980000000000004</v>
      </c>
      <c r="K94" s="2"/>
      <c r="M94" s="52"/>
    </row>
    <row r="95" spans="1:14">
      <c r="A95" s="58">
        <v>2</v>
      </c>
      <c r="B95" s="59" t="s">
        <v>173</v>
      </c>
      <c r="C95" s="60"/>
      <c r="D95" s="58">
        <v>8</v>
      </c>
      <c r="E95" s="68"/>
      <c r="F95" s="68"/>
      <c r="G95" s="68"/>
      <c r="H95" s="68"/>
      <c r="I95" s="68">
        <f>+J96+J108+J121+J133+J145+J156+J164+J176</f>
        <v>4567.8001999999997</v>
      </c>
      <c r="J95" s="68">
        <f>+D95*I95</f>
        <v>36542.401599999997</v>
      </c>
      <c r="K95" s="61"/>
      <c r="M95" s="52"/>
    </row>
    <row r="96" spans="1:14" ht="29.25" outlineLevel="1">
      <c r="A96" s="3"/>
      <c r="B96" s="32" t="s">
        <v>190</v>
      </c>
      <c r="C96" s="54"/>
      <c r="D96" s="3">
        <v>8</v>
      </c>
      <c r="E96" s="66"/>
      <c r="F96" s="66"/>
      <c r="G96" s="66"/>
      <c r="H96" s="66"/>
      <c r="I96" s="67">
        <f>+SUM(I97:I107)</f>
        <v>112.07274999999997</v>
      </c>
      <c r="J96" s="67">
        <f>+D96*I96</f>
        <v>896.58199999999977</v>
      </c>
      <c r="K96" s="2"/>
      <c r="M96" s="52"/>
      <c r="N96" s="52"/>
    </row>
    <row r="97" spans="1:13" outlineLevel="1">
      <c r="A97" s="3"/>
      <c r="B97" s="53" t="s">
        <v>177</v>
      </c>
      <c r="C97" s="56"/>
      <c r="D97" s="51">
        <v>1</v>
      </c>
      <c r="E97" s="69">
        <f>2.9+3</f>
        <v>5.9</v>
      </c>
      <c r="F97" s="69"/>
      <c r="G97" s="69">
        <v>2.65</v>
      </c>
      <c r="H97" s="69">
        <v>1</v>
      </c>
      <c r="I97" s="69">
        <f t="shared" ref="I97:I107" si="24">PRODUCT(E97:H97)</f>
        <v>15.635</v>
      </c>
      <c r="J97" s="69">
        <f t="shared" ref="J97:J107" si="25">I97*D97</f>
        <v>15.635</v>
      </c>
      <c r="K97" s="2" t="s">
        <v>197</v>
      </c>
      <c r="M97" s="52"/>
    </row>
    <row r="98" spans="1:13" outlineLevel="1">
      <c r="A98" s="3"/>
      <c r="B98" s="53" t="s">
        <v>13</v>
      </c>
      <c r="C98" s="56"/>
      <c r="D98" s="51">
        <v>1</v>
      </c>
      <c r="E98" s="69">
        <v>0.87</v>
      </c>
      <c r="F98" s="69"/>
      <c r="G98" s="69">
        <v>2.2000000000000002</v>
      </c>
      <c r="H98" s="69">
        <v>-1</v>
      </c>
      <c r="I98" s="69">
        <f t="shared" si="24"/>
        <v>-1.9140000000000001</v>
      </c>
      <c r="J98" s="69">
        <f t="shared" si="25"/>
        <v>-1.9140000000000001</v>
      </c>
      <c r="K98" s="2"/>
      <c r="M98" s="52"/>
    </row>
    <row r="99" spans="1:13" outlineLevel="1">
      <c r="A99" s="3"/>
      <c r="B99" s="53" t="s">
        <v>179</v>
      </c>
      <c r="C99" s="56"/>
      <c r="D99" s="51">
        <v>1</v>
      </c>
      <c r="E99" s="69">
        <f>(6050+1050+1200+1900+3200)/1000</f>
        <v>13.4</v>
      </c>
      <c r="F99" s="69"/>
      <c r="G99" s="69">
        <v>2.65</v>
      </c>
      <c r="H99" s="69">
        <v>1</v>
      </c>
      <c r="I99" s="69">
        <f t="shared" si="24"/>
        <v>35.51</v>
      </c>
      <c r="J99" s="69">
        <f t="shared" si="25"/>
        <v>35.51</v>
      </c>
      <c r="K99" s="2"/>
      <c r="M99" s="52"/>
    </row>
    <row r="100" spans="1:13" outlineLevel="1">
      <c r="A100" s="3"/>
      <c r="B100" s="53" t="s">
        <v>181</v>
      </c>
      <c r="C100" s="56"/>
      <c r="D100" s="51">
        <v>1</v>
      </c>
      <c r="E100" s="69">
        <v>0.87</v>
      </c>
      <c r="F100" s="69"/>
      <c r="G100" s="69">
        <v>2.2000000000000002</v>
      </c>
      <c r="H100" s="69">
        <v>-1</v>
      </c>
      <c r="I100" s="69">
        <f t="shared" si="24"/>
        <v>-1.9140000000000001</v>
      </c>
      <c r="J100" s="69">
        <f t="shared" si="25"/>
        <v>-1.9140000000000001</v>
      </c>
      <c r="K100" s="2"/>
      <c r="M100" s="52"/>
    </row>
    <row r="101" spans="1:13" outlineLevel="1">
      <c r="A101" s="3"/>
      <c r="B101" s="53" t="s">
        <v>183</v>
      </c>
      <c r="C101" s="56"/>
      <c r="D101" s="51">
        <v>1</v>
      </c>
      <c r="E101" s="69">
        <v>0.77</v>
      </c>
      <c r="F101" s="69"/>
      <c r="G101" s="69">
        <v>2.2000000000000002</v>
      </c>
      <c r="H101" s="69">
        <v>-1</v>
      </c>
      <c r="I101" s="69">
        <f t="shared" si="24"/>
        <v>-1.6940000000000002</v>
      </c>
      <c r="J101" s="69">
        <f t="shared" si="25"/>
        <v>-1.6940000000000002</v>
      </c>
      <c r="K101" s="2"/>
      <c r="M101" s="52"/>
    </row>
    <row r="102" spans="1:13" outlineLevel="1">
      <c r="A102" s="3"/>
      <c r="B102" s="53" t="s">
        <v>180</v>
      </c>
      <c r="C102" s="56"/>
      <c r="D102" s="51">
        <v>1</v>
      </c>
      <c r="E102" s="69">
        <f>(2900+600+100+3000+3100+2950+5150+1150+905+1150+1500+2650+1300+100+600+1750+1550)/1000</f>
        <v>30.454999999999998</v>
      </c>
      <c r="F102" s="69"/>
      <c r="G102" s="69">
        <v>2.65</v>
      </c>
      <c r="H102" s="69">
        <v>1</v>
      </c>
      <c r="I102" s="69">
        <f t="shared" si="24"/>
        <v>80.705749999999995</v>
      </c>
      <c r="J102" s="69">
        <f t="shared" si="25"/>
        <v>80.705749999999995</v>
      </c>
      <c r="K102" s="2"/>
      <c r="M102" s="52"/>
    </row>
    <row r="103" spans="1:13" outlineLevel="1">
      <c r="A103" s="3"/>
      <c r="B103" s="53" t="s">
        <v>181</v>
      </c>
      <c r="C103" s="56"/>
      <c r="D103" s="51">
        <v>1</v>
      </c>
      <c r="E103" s="69">
        <v>0.87</v>
      </c>
      <c r="F103" s="69"/>
      <c r="G103" s="69">
        <v>2.2000000000000002</v>
      </c>
      <c r="H103" s="69">
        <v>-2</v>
      </c>
      <c r="I103" s="69">
        <f t="shared" si="24"/>
        <v>-3.8280000000000003</v>
      </c>
      <c r="J103" s="69">
        <f t="shared" si="25"/>
        <v>-3.8280000000000003</v>
      </c>
      <c r="K103" s="2"/>
      <c r="M103" s="52"/>
    </row>
    <row r="104" spans="1:13" outlineLevel="1">
      <c r="A104" s="3"/>
      <c r="B104" s="53" t="s">
        <v>182</v>
      </c>
      <c r="C104" s="56"/>
      <c r="D104" s="51">
        <v>1</v>
      </c>
      <c r="E104" s="69">
        <v>0.77</v>
      </c>
      <c r="F104" s="69"/>
      <c r="G104" s="69">
        <v>2.2000000000000002</v>
      </c>
      <c r="H104" s="69">
        <v>-1</v>
      </c>
      <c r="I104" s="69">
        <f t="shared" si="24"/>
        <v>-1.6940000000000002</v>
      </c>
      <c r="J104" s="69">
        <f t="shared" si="25"/>
        <v>-1.6940000000000002</v>
      </c>
      <c r="K104" s="2"/>
      <c r="M104" s="52"/>
    </row>
    <row r="105" spans="1:13" outlineLevel="1">
      <c r="A105" s="3"/>
      <c r="B105" s="53" t="s">
        <v>183</v>
      </c>
      <c r="C105" s="56"/>
      <c r="D105" s="51">
        <v>1</v>
      </c>
      <c r="E105" s="69">
        <v>0.77</v>
      </c>
      <c r="F105" s="69"/>
      <c r="G105" s="69">
        <v>2.2000000000000002</v>
      </c>
      <c r="H105" s="69">
        <v>-1</v>
      </c>
      <c r="I105" s="69">
        <f t="shared" si="24"/>
        <v>-1.6940000000000002</v>
      </c>
      <c r="J105" s="69">
        <f t="shared" si="25"/>
        <v>-1.6940000000000002</v>
      </c>
      <c r="K105" s="2"/>
      <c r="M105" s="52"/>
    </row>
    <row r="106" spans="1:13" outlineLevel="1">
      <c r="A106" s="3"/>
      <c r="B106" s="53" t="s">
        <v>185</v>
      </c>
      <c r="C106" s="56"/>
      <c r="D106" s="51">
        <v>1</v>
      </c>
      <c r="E106" s="69">
        <v>1.1000000000000001</v>
      </c>
      <c r="F106" s="69"/>
      <c r="G106" s="69">
        <v>2.2000000000000002</v>
      </c>
      <c r="H106" s="69">
        <v>-1</v>
      </c>
      <c r="I106" s="69">
        <f t="shared" si="24"/>
        <v>-2.4200000000000004</v>
      </c>
      <c r="J106" s="69">
        <f t="shared" si="25"/>
        <v>-2.4200000000000004</v>
      </c>
      <c r="K106" s="2"/>
      <c r="M106" s="52"/>
    </row>
    <row r="107" spans="1:13" outlineLevel="1">
      <c r="A107" s="3"/>
      <c r="B107" s="53" t="s">
        <v>184</v>
      </c>
      <c r="C107" s="56"/>
      <c r="D107" s="51">
        <v>1</v>
      </c>
      <c r="E107" s="69">
        <v>2.1</v>
      </c>
      <c r="F107" s="69"/>
      <c r="G107" s="69">
        <v>2.2000000000000002</v>
      </c>
      <c r="H107" s="69">
        <v>-1</v>
      </c>
      <c r="I107" s="69">
        <f t="shared" si="24"/>
        <v>-4.620000000000001</v>
      </c>
      <c r="J107" s="69">
        <f t="shared" si="25"/>
        <v>-4.620000000000001</v>
      </c>
      <c r="K107" s="2"/>
      <c r="M107" s="52"/>
    </row>
    <row r="108" spans="1:13" ht="43.5" outlineLevel="1">
      <c r="A108" s="3"/>
      <c r="B108" s="32" t="s">
        <v>192</v>
      </c>
      <c r="C108" s="54" t="s">
        <v>12</v>
      </c>
      <c r="D108" s="3">
        <v>18</v>
      </c>
      <c r="E108" s="66"/>
      <c r="F108" s="66"/>
      <c r="G108" s="66"/>
      <c r="H108" s="66"/>
      <c r="I108" s="67">
        <f>+SUM(I109:I120)</f>
        <v>107.65424999999998</v>
      </c>
      <c r="J108" s="67">
        <f>+D108*I108</f>
        <v>1937.7764999999995</v>
      </c>
      <c r="K108" s="2"/>
      <c r="M108" s="52"/>
    </row>
    <row r="109" spans="1:13" outlineLevel="1">
      <c r="A109" s="3"/>
      <c r="B109" s="53" t="s">
        <v>177</v>
      </c>
      <c r="C109" s="56"/>
      <c r="D109" s="51">
        <v>1</v>
      </c>
      <c r="E109" s="69">
        <f>(3050+3000+3050)/1000</f>
        <v>9.1</v>
      </c>
      <c r="F109" s="69"/>
      <c r="G109" s="69">
        <v>2.65</v>
      </c>
      <c r="H109" s="69">
        <v>1</v>
      </c>
      <c r="I109" s="69">
        <f t="shared" ref="I109:I120" si="26">PRODUCT(E109:H109)</f>
        <v>24.114999999999998</v>
      </c>
      <c r="J109" s="69">
        <f t="shared" ref="J109:J144" si="27">I109*D109</f>
        <v>24.114999999999998</v>
      </c>
      <c r="K109" s="2" t="s">
        <v>198</v>
      </c>
      <c r="M109" s="52"/>
    </row>
    <row r="110" spans="1:13" outlineLevel="1">
      <c r="A110" s="3"/>
      <c r="B110" s="53" t="s">
        <v>181</v>
      </c>
      <c r="C110" s="56"/>
      <c r="D110" s="51">
        <v>1</v>
      </c>
      <c r="E110" s="69">
        <v>0.87</v>
      </c>
      <c r="F110" s="69"/>
      <c r="G110" s="69">
        <v>2.2000000000000002</v>
      </c>
      <c r="H110" s="69">
        <v>-1</v>
      </c>
      <c r="I110" s="69">
        <f t="shared" si="26"/>
        <v>-1.9140000000000001</v>
      </c>
      <c r="J110" s="69">
        <f t="shared" si="27"/>
        <v>-1.9140000000000001</v>
      </c>
      <c r="K110" s="2"/>
      <c r="M110" s="52"/>
    </row>
    <row r="111" spans="1:13" outlineLevel="1">
      <c r="A111" s="3"/>
      <c r="B111" s="53" t="s">
        <v>179</v>
      </c>
      <c r="C111" s="56"/>
      <c r="D111" s="51">
        <v>1</v>
      </c>
      <c r="E111" s="69">
        <f>(2770+2550+1450+1205+4320+1840)/1000</f>
        <v>14.135</v>
      </c>
      <c r="F111" s="69"/>
      <c r="G111" s="69">
        <v>2.65</v>
      </c>
      <c r="H111" s="69">
        <v>1</v>
      </c>
      <c r="I111" s="69">
        <f t="shared" si="26"/>
        <v>37.457749999999997</v>
      </c>
      <c r="J111" s="69">
        <f t="shared" si="27"/>
        <v>37.457749999999997</v>
      </c>
      <c r="K111" s="2"/>
      <c r="M111" s="52"/>
    </row>
    <row r="112" spans="1:13" outlineLevel="1">
      <c r="A112" s="3"/>
      <c r="B112" s="53" t="s">
        <v>181</v>
      </c>
      <c r="C112" s="56"/>
      <c r="D112" s="51">
        <v>1</v>
      </c>
      <c r="E112" s="69">
        <v>0.87</v>
      </c>
      <c r="F112" s="69"/>
      <c r="G112" s="69">
        <v>2.2000000000000002</v>
      </c>
      <c r="H112" s="69">
        <v>-1</v>
      </c>
      <c r="I112" s="69">
        <f t="shared" si="26"/>
        <v>-1.9140000000000001</v>
      </c>
      <c r="J112" s="69">
        <f t="shared" si="27"/>
        <v>-1.9140000000000001</v>
      </c>
      <c r="K112" s="2"/>
      <c r="M112" s="52"/>
    </row>
    <row r="113" spans="1:13" outlineLevel="1">
      <c r="A113" s="3"/>
      <c r="B113" s="53" t="s">
        <v>183</v>
      </c>
      <c r="C113" s="56"/>
      <c r="D113" s="51">
        <v>1</v>
      </c>
      <c r="E113" s="69">
        <v>0.77</v>
      </c>
      <c r="F113" s="69"/>
      <c r="G113" s="69">
        <v>2.2000000000000002</v>
      </c>
      <c r="H113" s="69">
        <v>-1</v>
      </c>
      <c r="I113" s="69">
        <f t="shared" si="26"/>
        <v>-1.6940000000000002</v>
      </c>
      <c r="J113" s="69">
        <f t="shared" si="27"/>
        <v>-1.6940000000000002</v>
      </c>
      <c r="K113" s="2"/>
      <c r="M113" s="52"/>
    </row>
    <row r="114" spans="1:13" outlineLevel="1">
      <c r="A114" s="3"/>
      <c r="B114" s="53" t="s">
        <v>187</v>
      </c>
      <c r="C114" s="56"/>
      <c r="D114" s="51">
        <v>1</v>
      </c>
      <c r="E114" s="69">
        <v>0.9</v>
      </c>
      <c r="F114" s="69"/>
      <c r="G114" s="69">
        <f>0.85*2</f>
        <v>1.7</v>
      </c>
      <c r="H114" s="69">
        <v>-1</v>
      </c>
      <c r="I114" s="69">
        <f t="shared" si="26"/>
        <v>-1.53</v>
      </c>
      <c r="J114" s="69">
        <f t="shared" si="27"/>
        <v>-1.53</v>
      </c>
      <c r="K114" s="2"/>
      <c r="M114" s="52"/>
    </row>
    <row r="115" spans="1:13" outlineLevel="1">
      <c r="A115" s="3"/>
      <c r="B115" s="53" t="s">
        <v>180</v>
      </c>
      <c r="C115" s="56"/>
      <c r="D115" s="51">
        <v>1</v>
      </c>
      <c r="E115" s="69">
        <f>(1330+3855+2840+950+3100+2150+2850+4255+1450+2650)/1000</f>
        <v>25.43</v>
      </c>
      <c r="F115" s="69"/>
      <c r="G115" s="69">
        <v>2.65</v>
      </c>
      <c r="H115" s="69">
        <v>1</v>
      </c>
      <c r="I115" s="69">
        <f t="shared" si="26"/>
        <v>67.389499999999998</v>
      </c>
      <c r="J115" s="69">
        <f t="shared" si="27"/>
        <v>67.389499999999998</v>
      </c>
      <c r="K115" s="2"/>
      <c r="M115" s="52"/>
    </row>
    <row r="116" spans="1:13" outlineLevel="1">
      <c r="A116" s="3"/>
      <c r="B116" s="53" t="s">
        <v>185</v>
      </c>
      <c r="C116" s="56"/>
      <c r="D116" s="51">
        <v>1</v>
      </c>
      <c r="E116" s="69">
        <v>1.1000000000000001</v>
      </c>
      <c r="F116" s="69"/>
      <c r="G116" s="69">
        <v>2.2000000000000002</v>
      </c>
      <c r="H116" s="69">
        <v>-1</v>
      </c>
      <c r="I116" s="69">
        <f t="shared" si="26"/>
        <v>-2.4200000000000004</v>
      </c>
      <c r="J116" s="69">
        <f t="shared" si="27"/>
        <v>-2.4200000000000004</v>
      </c>
      <c r="K116" s="2"/>
      <c r="M116" s="52"/>
    </row>
    <row r="117" spans="1:13" outlineLevel="1">
      <c r="A117" s="3"/>
      <c r="B117" s="53" t="s">
        <v>181</v>
      </c>
      <c r="C117" s="56"/>
      <c r="D117" s="51">
        <v>1</v>
      </c>
      <c r="E117" s="69">
        <v>0.87</v>
      </c>
      <c r="F117" s="69"/>
      <c r="G117" s="69">
        <v>2.2000000000000002</v>
      </c>
      <c r="H117" s="69">
        <v>-2</v>
      </c>
      <c r="I117" s="69">
        <f t="shared" si="26"/>
        <v>-3.8280000000000003</v>
      </c>
      <c r="J117" s="69">
        <f t="shared" si="27"/>
        <v>-3.8280000000000003</v>
      </c>
      <c r="K117" s="2"/>
      <c r="M117" s="52"/>
    </row>
    <row r="118" spans="1:13" outlineLevel="1">
      <c r="A118" s="3"/>
      <c r="B118" s="53" t="s">
        <v>188</v>
      </c>
      <c r="C118" s="56"/>
      <c r="D118" s="51">
        <v>1</v>
      </c>
      <c r="E118" s="69">
        <v>0.77</v>
      </c>
      <c r="F118" s="69"/>
      <c r="G118" s="69">
        <v>2.2000000000000002</v>
      </c>
      <c r="H118" s="69">
        <v>-1</v>
      </c>
      <c r="I118" s="69">
        <f t="shared" si="26"/>
        <v>-1.6940000000000002</v>
      </c>
      <c r="J118" s="69">
        <f t="shared" si="27"/>
        <v>-1.6940000000000002</v>
      </c>
      <c r="K118" s="2"/>
      <c r="M118" s="52"/>
    </row>
    <row r="119" spans="1:13" outlineLevel="1">
      <c r="A119" s="3"/>
      <c r="B119" s="53" t="s">
        <v>184</v>
      </c>
      <c r="C119" s="56"/>
      <c r="D119" s="51">
        <v>1</v>
      </c>
      <c r="E119" s="69">
        <v>2.1</v>
      </c>
      <c r="F119" s="69"/>
      <c r="G119" s="69">
        <v>2.2000000000000002</v>
      </c>
      <c r="H119" s="69">
        <v>-1</v>
      </c>
      <c r="I119" s="69">
        <f t="shared" si="26"/>
        <v>-4.620000000000001</v>
      </c>
      <c r="J119" s="69">
        <f t="shared" si="27"/>
        <v>-4.620000000000001</v>
      </c>
      <c r="K119" s="2"/>
      <c r="M119" s="52"/>
    </row>
    <row r="120" spans="1:13" outlineLevel="1">
      <c r="A120" s="3"/>
      <c r="B120" s="53" t="s">
        <v>183</v>
      </c>
      <c r="C120" s="56"/>
      <c r="D120" s="51">
        <v>1</v>
      </c>
      <c r="E120" s="69">
        <v>0.77</v>
      </c>
      <c r="F120" s="69"/>
      <c r="G120" s="69">
        <v>2.2000000000000002</v>
      </c>
      <c r="H120" s="69">
        <v>-1</v>
      </c>
      <c r="I120" s="69">
        <f t="shared" si="26"/>
        <v>-1.6940000000000002</v>
      </c>
      <c r="J120" s="69">
        <f t="shared" si="27"/>
        <v>-1.6940000000000002</v>
      </c>
      <c r="K120" s="2"/>
      <c r="M120" s="52"/>
    </row>
    <row r="121" spans="1:13" outlineLevel="1">
      <c r="A121" s="3"/>
      <c r="B121" s="32" t="s">
        <v>191</v>
      </c>
      <c r="C121" s="54" t="s">
        <v>12</v>
      </c>
      <c r="D121" s="3">
        <v>2</v>
      </c>
      <c r="E121" s="66"/>
      <c r="F121" s="66"/>
      <c r="G121" s="66"/>
      <c r="H121" s="66"/>
      <c r="I121" s="67">
        <f>+SUM(I122:I132)</f>
        <v>110.19349999999997</v>
      </c>
      <c r="J121" s="67">
        <f t="shared" si="27"/>
        <v>220.38699999999994</v>
      </c>
      <c r="K121" s="2" t="s">
        <v>200</v>
      </c>
      <c r="M121" s="52"/>
    </row>
    <row r="122" spans="1:13" outlineLevel="1">
      <c r="A122" s="2"/>
      <c r="B122" s="62" t="s">
        <v>177</v>
      </c>
      <c r="C122" s="55"/>
      <c r="D122" s="2">
        <v>1</v>
      </c>
      <c r="E122" s="70">
        <f>(3355+2000+1045+1070+4850)/1000</f>
        <v>12.32</v>
      </c>
      <c r="F122" s="70"/>
      <c r="G122" s="70">
        <v>2.65</v>
      </c>
      <c r="H122" s="70">
        <v>1</v>
      </c>
      <c r="I122" s="69">
        <f t="shared" ref="I122:I132" si="28">PRODUCT(E122:H122)</f>
        <v>32.647999999999996</v>
      </c>
      <c r="J122" s="69">
        <f t="shared" si="27"/>
        <v>32.647999999999996</v>
      </c>
      <c r="K122" s="2"/>
      <c r="M122" s="52"/>
    </row>
    <row r="123" spans="1:13" outlineLevel="1">
      <c r="A123" s="3"/>
      <c r="B123" s="53" t="s">
        <v>181</v>
      </c>
      <c r="C123" s="56"/>
      <c r="D123" s="51">
        <v>1</v>
      </c>
      <c r="E123" s="69">
        <v>0.87</v>
      </c>
      <c r="F123" s="69"/>
      <c r="G123" s="69">
        <v>2.2000000000000002</v>
      </c>
      <c r="H123" s="69">
        <v>-1</v>
      </c>
      <c r="I123" s="69">
        <f t="shared" si="28"/>
        <v>-1.9140000000000001</v>
      </c>
      <c r="J123" s="69">
        <f t="shared" si="27"/>
        <v>-1.9140000000000001</v>
      </c>
      <c r="K123" s="2"/>
      <c r="M123" s="52"/>
    </row>
    <row r="124" spans="1:13" outlineLevel="1">
      <c r="A124" s="3"/>
      <c r="B124" s="53" t="s">
        <v>183</v>
      </c>
      <c r="C124" s="56"/>
      <c r="D124" s="51">
        <v>1</v>
      </c>
      <c r="E124" s="69">
        <v>0.77</v>
      </c>
      <c r="F124" s="69"/>
      <c r="G124" s="69">
        <v>2.2000000000000002</v>
      </c>
      <c r="H124" s="69">
        <v>-1</v>
      </c>
      <c r="I124" s="69">
        <f t="shared" si="28"/>
        <v>-1.6940000000000002</v>
      </c>
      <c r="J124" s="69">
        <f t="shared" si="27"/>
        <v>-1.6940000000000002</v>
      </c>
      <c r="K124" s="2"/>
      <c r="M124" s="52"/>
    </row>
    <row r="125" spans="1:13" outlineLevel="1">
      <c r="A125" s="2"/>
      <c r="B125" s="62" t="s">
        <v>179</v>
      </c>
      <c r="C125" s="55"/>
      <c r="D125" s="2">
        <v>1</v>
      </c>
      <c r="E125" s="70">
        <f>(4005+2830+4005+2830)/1000</f>
        <v>13.67</v>
      </c>
      <c r="F125" s="70"/>
      <c r="G125" s="70">
        <v>2.65</v>
      </c>
      <c r="H125" s="70">
        <v>1</v>
      </c>
      <c r="I125" s="69">
        <f t="shared" si="28"/>
        <v>36.225499999999997</v>
      </c>
      <c r="J125" s="69">
        <f t="shared" si="27"/>
        <v>36.225499999999997</v>
      </c>
      <c r="K125" s="2"/>
      <c r="M125" s="52"/>
    </row>
    <row r="126" spans="1:13" outlineLevel="1">
      <c r="A126" s="3"/>
      <c r="B126" s="53" t="s">
        <v>181</v>
      </c>
      <c r="C126" s="56"/>
      <c r="D126" s="51">
        <v>1</v>
      </c>
      <c r="E126" s="69">
        <v>0.87</v>
      </c>
      <c r="F126" s="69"/>
      <c r="G126" s="69">
        <v>2.2000000000000002</v>
      </c>
      <c r="H126" s="69">
        <v>-1</v>
      </c>
      <c r="I126" s="69">
        <f t="shared" si="28"/>
        <v>-1.9140000000000001</v>
      </c>
      <c r="J126" s="69">
        <f t="shared" si="27"/>
        <v>-1.9140000000000001</v>
      </c>
      <c r="K126" s="2"/>
      <c r="M126" s="52"/>
    </row>
    <row r="127" spans="1:13" outlineLevel="1">
      <c r="A127" s="3"/>
      <c r="B127" s="53" t="s">
        <v>184</v>
      </c>
      <c r="C127" s="56"/>
      <c r="D127" s="51">
        <v>1</v>
      </c>
      <c r="E127" s="69">
        <v>2.1</v>
      </c>
      <c r="F127" s="69"/>
      <c r="G127" s="69">
        <v>2.2000000000000002</v>
      </c>
      <c r="H127" s="69">
        <v>-1</v>
      </c>
      <c r="I127" s="69">
        <f t="shared" si="28"/>
        <v>-4.620000000000001</v>
      </c>
      <c r="J127" s="69">
        <f t="shared" si="27"/>
        <v>-4.620000000000001</v>
      </c>
      <c r="K127" s="2"/>
      <c r="M127" s="52"/>
    </row>
    <row r="128" spans="1:13" outlineLevel="1">
      <c r="A128" s="2"/>
      <c r="B128" s="62" t="s">
        <v>180</v>
      </c>
      <c r="C128" s="55"/>
      <c r="D128" s="2">
        <v>1</v>
      </c>
      <c r="E128" s="70">
        <f>(5980+1450+1170+955+1170+3950+3050+4105+2330)/1000</f>
        <v>24.16</v>
      </c>
      <c r="F128" s="70"/>
      <c r="G128" s="70">
        <v>2.65</v>
      </c>
      <c r="H128" s="70">
        <v>1</v>
      </c>
      <c r="I128" s="69">
        <f t="shared" si="28"/>
        <v>64.024000000000001</v>
      </c>
      <c r="J128" s="69">
        <f t="shared" si="27"/>
        <v>64.024000000000001</v>
      </c>
      <c r="K128" s="2"/>
      <c r="M128" s="52"/>
    </row>
    <row r="129" spans="1:13" outlineLevel="1">
      <c r="A129" s="3"/>
      <c r="B129" s="53" t="s">
        <v>185</v>
      </c>
      <c r="C129" s="56"/>
      <c r="D129" s="51">
        <v>1</v>
      </c>
      <c r="E129" s="69">
        <v>1.1000000000000001</v>
      </c>
      <c r="F129" s="69"/>
      <c r="G129" s="69">
        <v>2.2000000000000002</v>
      </c>
      <c r="H129" s="69">
        <v>-1</v>
      </c>
      <c r="I129" s="69">
        <f t="shared" si="28"/>
        <v>-2.4200000000000004</v>
      </c>
      <c r="J129" s="69">
        <f t="shared" si="27"/>
        <v>-2.4200000000000004</v>
      </c>
      <c r="K129" s="2"/>
      <c r="M129" s="52"/>
    </row>
    <row r="130" spans="1:13" outlineLevel="1">
      <c r="A130" s="3"/>
      <c r="B130" s="53" t="s">
        <v>181</v>
      </c>
      <c r="C130" s="56"/>
      <c r="D130" s="51">
        <v>1</v>
      </c>
      <c r="E130" s="69">
        <v>0.87</v>
      </c>
      <c r="F130" s="69"/>
      <c r="G130" s="69">
        <v>2.2000000000000002</v>
      </c>
      <c r="H130" s="69">
        <v>-2</v>
      </c>
      <c r="I130" s="69">
        <f t="shared" si="28"/>
        <v>-3.8280000000000003</v>
      </c>
      <c r="J130" s="69">
        <f t="shared" si="27"/>
        <v>-3.8280000000000003</v>
      </c>
      <c r="K130" s="2"/>
      <c r="M130" s="52"/>
    </row>
    <row r="131" spans="1:13" outlineLevel="1">
      <c r="A131" s="3"/>
      <c r="B131" s="53" t="s">
        <v>183</v>
      </c>
      <c r="C131" s="56"/>
      <c r="D131" s="51">
        <v>1</v>
      </c>
      <c r="E131" s="69">
        <v>0.77</v>
      </c>
      <c r="F131" s="69"/>
      <c r="G131" s="69">
        <v>2.2000000000000002</v>
      </c>
      <c r="H131" s="69">
        <v>-1</v>
      </c>
      <c r="I131" s="69">
        <f t="shared" si="28"/>
        <v>-1.6940000000000002</v>
      </c>
      <c r="J131" s="69">
        <f t="shared" si="27"/>
        <v>-1.6940000000000002</v>
      </c>
      <c r="K131" s="2"/>
      <c r="M131" s="52"/>
    </row>
    <row r="132" spans="1:13" outlineLevel="1">
      <c r="A132" s="3"/>
      <c r="B132" s="53" t="s">
        <v>184</v>
      </c>
      <c r="C132" s="56"/>
      <c r="D132" s="51">
        <v>1</v>
      </c>
      <c r="E132" s="69">
        <v>2.1</v>
      </c>
      <c r="F132" s="69"/>
      <c r="G132" s="69">
        <v>2.2000000000000002</v>
      </c>
      <c r="H132" s="69">
        <v>-1</v>
      </c>
      <c r="I132" s="69">
        <f t="shared" si="28"/>
        <v>-4.620000000000001</v>
      </c>
      <c r="J132" s="69">
        <f t="shared" si="27"/>
        <v>-4.620000000000001</v>
      </c>
      <c r="K132" s="2"/>
      <c r="M132" s="52"/>
    </row>
    <row r="133" spans="1:13" outlineLevel="1">
      <c r="A133" s="3"/>
      <c r="B133" s="32" t="s">
        <v>193</v>
      </c>
      <c r="C133" s="54"/>
      <c r="D133" s="3">
        <v>4</v>
      </c>
      <c r="E133" s="66"/>
      <c r="F133" s="66"/>
      <c r="G133" s="66"/>
      <c r="H133" s="66"/>
      <c r="I133" s="67">
        <f>+SUM(I134:I144)</f>
        <v>95.343249999999983</v>
      </c>
      <c r="J133" s="67">
        <f t="shared" si="27"/>
        <v>381.37299999999993</v>
      </c>
      <c r="K133" s="2" t="s">
        <v>202</v>
      </c>
      <c r="M133" s="52"/>
    </row>
    <row r="134" spans="1:13" outlineLevel="1">
      <c r="A134" s="2"/>
      <c r="B134" s="62" t="s">
        <v>177</v>
      </c>
      <c r="C134" s="55"/>
      <c r="D134" s="2">
        <v>1</v>
      </c>
      <c r="E134" s="70">
        <f>(4850+2800)/1000</f>
        <v>7.65</v>
      </c>
      <c r="F134" s="70"/>
      <c r="G134" s="70">
        <v>2.65</v>
      </c>
      <c r="H134" s="70">
        <v>1</v>
      </c>
      <c r="I134" s="69">
        <f t="shared" ref="I134:I144" si="29">PRODUCT(E134:H134)</f>
        <v>20.272500000000001</v>
      </c>
      <c r="J134" s="69">
        <f t="shared" si="27"/>
        <v>20.272500000000001</v>
      </c>
      <c r="K134" s="2"/>
      <c r="M134" s="52"/>
    </row>
    <row r="135" spans="1:13" outlineLevel="1">
      <c r="A135" s="3"/>
      <c r="B135" s="53" t="s">
        <v>181</v>
      </c>
      <c r="C135" s="56"/>
      <c r="D135" s="51">
        <v>1</v>
      </c>
      <c r="E135" s="69">
        <v>0.87</v>
      </c>
      <c r="F135" s="69"/>
      <c r="G135" s="69">
        <v>2.2000000000000002</v>
      </c>
      <c r="H135" s="69">
        <v>-1</v>
      </c>
      <c r="I135" s="69">
        <f t="shared" si="29"/>
        <v>-1.9140000000000001</v>
      </c>
      <c r="J135" s="69">
        <f t="shared" si="27"/>
        <v>-1.9140000000000001</v>
      </c>
      <c r="K135" s="2"/>
      <c r="M135" s="52"/>
    </row>
    <row r="136" spans="1:13" outlineLevel="1">
      <c r="A136" s="2"/>
      <c r="B136" s="62" t="s">
        <v>179</v>
      </c>
      <c r="C136" s="55"/>
      <c r="D136" s="2">
        <v>1</v>
      </c>
      <c r="E136" s="70">
        <f>(5800+900+1850+2225+2300)/1000</f>
        <v>13.074999999999999</v>
      </c>
      <c r="F136" s="70"/>
      <c r="G136" s="70">
        <v>2.65</v>
      </c>
      <c r="H136" s="70">
        <v>1</v>
      </c>
      <c r="I136" s="69">
        <f t="shared" si="29"/>
        <v>34.64875</v>
      </c>
      <c r="J136" s="69">
        <f t="shared" si="27"/>
        <v>34.64875</v>
      </c>
      <c r="K136" s="2"/>
      <c r="M136" s="52"/>
    </row>
    <row r="137" spans="1:13" outlineLevel="1">
      <c r="A137" s="3"/>
      <c r="B137" s="53" t="s">
        <v>181</v>
      </c>
      <c r="C137" s="56"/>
      <c r="D137" s="51">
        <v>1</v>
      </c>
      <c r="E137" s="69">
        <v>0.87</v>
      </c>
      <c r="F137" s="69"/>
      <c r="G137" s="69">
        <v>2.2000000000000002</v>
      </c>
      <c r="H137" s="69">
        <v>-1</v>
      </c>
      <c r="I137" s="69">
        <f t="shared" si="29"/>
        <v>-1.9140000000000001</v>
      </c>
      <c r="J137" s="69">
        <f t="shared" si="27"/>
        <v>-1.9140000000000001</v>
      </c>
      <c r="K137" s="2"/>
      <c r="M137" s="52"/>
    </row>
    <row r="138" spans="1:13" outlineLevel="1">
      <c r="A138" s="3"/>
      <c r="B138" s="53" t="s">
        <v>183</v>
      </c>
      <c r="C138" s="56"/>
      <c r="D138" s="51">
        <v>1</v>
      </c>
      <c r="E138" s="69">
        <v>0.77</v>
      </c>
      <c r="F138" s="69"/>
      <c r="G138" s="69">
        <v>2.2000000000000002</v>
      </c>
      <c r="H138" s="69">
        <v>-1</v>
      </c>
      <c r="I138" s="69">
        <f t="shared" si="29"/>
        <v>-1.6940000000000002</v>
      </c>
      <c r="J138" s="69">
        <f t="shared" si="27"/>
        <v>-1.6940000000000002</v>
      </c>
      <c r="K138" s="2"/>
      <c r="M138" s="52"/>
    </row>
    <row r="139" spans="1:13" outlineLevel="1">
      <c r="A139" s="2"/>
      <c r="B139" s="62" t="s">
        <v>180</v>
      </c>
      <c r="C139" s="55"/>
      <c r="D139" s="2">
        <v>1</v>
      </c>
      <c r="E139" s="70">
        <f>(4500+1750+1800+600+100+4600+3100+6350)/1000</f>
        <v>22.8</v>
      </c>
      <c r="F139" s="70"/>
      <c r="G139" s="70">
        <v>2.65</v>
      </c>
      <c r="H139" s="70">
        <v>1</v>
      </c>
      <c r="I139" s="69">
        <f t="shared" si="29"/>
        <v>60.42</v>
      </c>
      <c r="J139" s="69">
        <f t="shared" si="27"/>
        <v>60.42</v>
      </c>
      <c r="K139" s="2"/>
      <c r="M139" s="52"/>
    </row>
    <row r="140" spans="1:13" outlineLevel="1">
      <c r="A140" s="3"/>
      <c r="B140" s="53" t="s">
        <v>185</v>
      </c>
      <c r="C140" s="56"/>
      <c r="D140" s="51">
        <v>1</v>
      </c>
      <c r="E140" s="69">
        <v>1.1000000000000001</v>
      </c>
      <c r="F140" s="69"/>
      <c r="G140" s="69">
        <v>2.2000000000000002</v>
      </c>
      <c r="H140" s="69">
        <v>-1</v>
      </c>
      <c r="I140" s="69">
        <f t="shared" si="29"/>
        <v>-2.4200000000000004</v>
      </c>
      <c r="J140" s="69">
        <f t="shared" si="27"/>
        <v>-2.4200000000000004</v>
      </c>
      <c r="K140" s="2"/>
      <c r="M140" s="52"/>
    </row>
    <row r="141" spans="1:13" outlineLevel="1">
      <c r="A141" s="3"/>
      <c r="B141" s="53" t="s">
        <v>181</v>
      </c>
      <c r="C141" s="56"/>
      <c r="D141" s="51">
        <v>1</v>
      </c>
      <c r="E141" s="69">
        <v>0.87</v>
      </c>
      <c r="F141" s="69"/>
      <c r="G141" s="69">
        <v>2.2000000000000002</v>
      </c>
      <c r="H141" s="69">
        <v>-2</v>
      </c>
      <c r="I141" s="69">
        <f t="shared" si="29"/>
        <v>-3.8280000000000003</v>
      </c>
      <c r="J141" s="69">
        <f t="shared" si="27"/>
        <v>-3.8280000000000003</v>
      </c>
      <c r="K141" s="2"/>
      <c r="M141" s="52"/>
    </row>
    <row r="142" spans="1:13" outlineLevel="1">
      <c r="A142" s="3"/>
      <c r="B142" s="53" t="s">
        <v>201</v>
      </c>
      <c r="C142" s="56"/>
      <c r="D142" s="51">
        <v>1</v>
      </c>
      <c r="E142" s="69">
        <v>2.2000000000000002</v>
      </c>
      <c r="F142" s="69"/>
      <c r="G142" s="69">
        <v>2.2000000000000002</v>
      </c>
      <c r="H142" s="69">
        <v>-1</v>
      </c>
      <c r="I142" s="69">
        <f t="shared" si="29"/>
        <v>-4.8400000000000007</v>
      </c>
      <c r="J142" s="69">
        <f t="shared" si="27"/>
        <v>-4.8400000000000007</v>
      </c>
      <c r="K142" s="2"/>
      <c r="M142" s="52"/>
    </row>
    <row r="143" spans="1:13" outlineLevel="1">
      <c r="A143" s="3"/>
      <c r="B143" s="53" t="s">
        <v>188</v>
      </c>
      <c r="C143" s="56"/>
      <c r="D143" s="51">
        <v>1</v>
      </c>
      <c r="E143" s="69">
        <v>0.77</v>
      </c>
      <c r="F143" s="69"/>
      <c r="G143" s="69">
        <v>2.2000000000000002</v>
      </c>
      <c r="H143" s="69">
        <v>-1</v>
      </c>
      <c r="I143" s="69">
        <f t="shared" si="29"/>
        <v>-1.6940000000000002</v>
      </c>
      <c r="J143" s="69">
        <f t="shared" si="27"/>
        <v>-1.6940000000000002</v>
      </c>
      <c r="K143" s="2"/>
      <c r="M143" s="52"/>
    </row>
    <row r="144" spans="1:13" outlineLevel="1">
      <c r="A144" s="3"/>
      <c r="B144" s="53" t="s">
        <v>183</v>
      </c>
      <c r="C144" s="56"/>
      <c r="D144" s="51">
        <v>1</v>
      </c>
      <c r="E144" s="69">
        <v>0.77</v>
      </c>
      <c r="F144" s="69"/>
      <c r="G144" s="69">
        <v>2.2000000000000002</v>
      </c>
      <c r="H144" s="69">
        <v>-1</v>
      </c>
      <c r="I144" s="69">
        <f t="shared" si="29"/>
        <v>-1.6940000000000002</v>
      </c>
      <c r="J144" s="69">
        <f t="shared" si="27"/>
        <v>-1.6940000000000002</v>
      </c>
      <c r="K144" s="2"/>
      <c r="M144" s="52"/>
    </row>
    <row r="145" spans="1:13" outlineLevel="1">
      <c r="A145" s="3"/>
      <c r="B145" s="32" t="s">
        <v>194</v>
      </c>
      <c r="C145" s="54"/>
      <c r="D145" s="3">
        <v>2</v>
      </c>
      <c r="E145" s="66"/>
      <c r="F145" s="66"/>
      <c r="G145" s="66"/>
      <c r="H145" s="66"/>
      <c r="I145" s="67">
        <f>+SUM(I146:I155)</f>
        <v>84.031349999999975</v>
      </c>
      <c r="J145" s="67">
        <f>+D145*I145</f>
        <v>168.06269999999995</v>
      </c>
      <c r="K145" s="2"/>
      <c r="M145" s="52"/>
    </row>
    <row r="146" spans="1:13" outlineLevel="1">
      <c r="A146" s="3"/>
      <c r="B146" s="53" t="s">
        <v>177</v>
      </c>
      <c r="C146" s="56"/>
      <c r="D146" s="51">
        <v>1</v>
      </c>
      <c r="E146" s="69">
        <f>(3897+975+897+100+550+2075)/1000</f>
        <v>8.4939999999999998</v>
      </c>
      <c r="F146" s="69"/>
      <c r="G146" s="69">
        <v>2.65</v>
      </c>
      <c r="H146" s="69">
        <v>1</v>
      </c>
      <c r="I146" s="69">
        <f t="shared" ref="I146:I155" si="30">PRODUCT(E146:H146)</f>
        <v>22.5091</v>
      </c>
      <c r="J146" s="69">
        <f t="shared" ref="J146:J179" si="31">I146*D146</f>
        <v>22.5091</v>
      </c>
      <c r="K146" s="2" t="s">
        <v>199</v>
      </c>
      <c r="M146" s="52"/>
    </row>
    <row r="147" spans="1:13" outlineLevel="1">
      <c r="A147" s="3"/>
      <c r="B147" s="53" t="s">
        <v>181</v>
      </c>
      <c r="C147" s="56"/>
      <c r="D147" s="51">
        <v>1</v>
      </c>
      <c r="E147" s="69">
        <v>0.87</v>
      </c>
      <c r="F147" s="69"/>
      <c r="G147" s="69">
        <v>2.2000000000000002</v>
      </c>
      <c r="H147" s="69">
        <v>-1</v>
      </c>
      <c r="I147" s="69">
        <f t="shared" si="30"/>
        <v>-1.9140000000000001</v>
      </c>
      <c r="J147" s="69">
        <f t="shared" si="31"/>
        <v>-1.9140000000000001</v>
      </c>
      <c r="K147" s="2"/>
      <c r="M147" s="52"/>
    </row>
    <row r="148" spans="1:13" outlineLevel="1">
      <c r="A148" s="3"/>
      <c r="B148" s="53" t="s">
        <v>179</v>
      </c>
      <c r="C148" s="56"/>
      <c r="D148" s="51">
        <v>1</v>
      </c>
      <c r="E148" s="69">
        <f>(3000+3355+975+750+2175)/1000</f>
        <v>10.255000000000001</v>
      </c>
      <c r="F148" s="69"/>
      <c r="G148" s="69">
        <v>2.65</v>
      </c>
      <c r="H148" s="69">
        <v>1</v>
      </c>
      <c r="I148" s="69">
        <f t="shared" si="30"/>
        <v>27.175750000000001</v>
      </c>
      <c r="J148" s="69">
        <f t="shared" si="31"/>
        <v>27.175750000000001</v>
      </c>
      <c r="K148" s="2"/>
      <c r="M148" s="52"/>
    </row>
    <row r="149" spans="1:13" outlineLevel="1">
      <c r="A149" s="3"/>
      <c r="B149" s="53" t="s">
        <v>181</v>
      </c>
      <c r="C149" s="56"/>
      <c r="D149" s="51">
        <v>1</v>
      </c>
      <c r="E149" s="69">
        <v>0.87</v>
      </c>
      <c r="F149" s="69"/>
      <c r="G149" s="69">
        <v>2.2000000000000002</v>
      </c>
      <c r="H149" s="69">
        <v>-1</v>
      </c>
      <c r="I149" s="69">
        <f t="shared" si="30"/>
        <v>-1.9140000000000001</v>
      </c>
      <c r="J149" s="69">
        <f t="shared" si="31"/>
        <v>-1.9140000000000001</v>
      </c>
      <c r="K149" s="2"/>
      <c r="M149" s="52"/>
    </row>
    <row r="150" spans="1:13" outlineLevel="1">
      <c r="A150" s="3"/>
      <c r="B150" s="53" t="s">
        <v>186</v>
      </c>
      <c r="C150" s="56"/>
      <c r="D150" s="51">
        <v>1</v>
      </c>
      <c r="E150" s="69">
        <v>1.2</v>
      </c>
      <c r="F150" s="69"/>
      <c r="G150" s="69">
        <v>1.5</v>
      </c>
      <c r="H150" s="69">
        <v>-1</v>
      </c>
      <c r="I150" s="69">
        <f t="shared" si="30"/>
        <v>-1.7999999999999998</v>
      </c>
      <c r="J150" s="69">
        <f t="shared" si="31"/>
        <v>-1.7999999999999998</v>
      </c>
      <c r="K150" s="2"/>
      <c r="M150" s="52"/>
    </row>
    <row r="151" spans="1:13" outlineLevel="1">
      <c r="A151" s="3"/>
      <c r="B151" s="53" t="s">
        <v>180</v>
      </c>
      <c r="C151" s="56"/>
      <c r="D151" s="51">
        <v>1</v>
      </c>
      <c r="E151" s="69">
        <f>(2505+3455+1075+1103+1075+2697+2950+4990)/1000</f>
        <v>19.850000000000001</v>
      </c>
      <c r="F151" s="69"/>
      <c r="G151" s="69">
        <v>2.65</v>
      </c>
      <c r="H151" s="69">
        <v>1</v>
      </c>
      <c r="I151" s="69">
        <f t="shared" si="30"/>
        <v>52.602499999999999</v>
      </c>
      <c r="J151" s="69">
        <f t="shared" si="31"/>
        <v>52.602499999999999</v>
      </c>
      <c r="K151" s="2"/>
      <c r="M151" s="52"/>
    </row>
    <row r="152" spans="1:13" outlineLevel="1">
      <c r="A152" s="3"/>
      <c r="B152" s="53" t="s">
        <v>185</v>
      </c>
      <c r="C152" s="56"/>
      <c r="D152" s="51">
        <v>1</v>
      </c>
      <c r="E152" s="69">
        <v>1.1000000000000001</v>
      </c>
      <c r="F152" s="69"/>
      <c r="G152" s="69">
        <v>2.2000000000000002</v>
      </c>
      <c r="H152" s="69">
        <v>-1</v>
      </c>
      <c r="I152" s="69">
        <f t="shared" si="30"/>
        <v>-2.4200000000000004</v>
      </c>
      <c r="J152" s="69">
        <f t="shared" si="31"/>
        <v>-2.4200000000000004</v>
      </c>
      <c r="K152" s="2"/>
      <c r="M152" s="52"/>
    </row>
    <row r="153" spans="1:13" outlineLevel="1">
      <c r="A153" s="3"/>
      <c r="B153" s="53" t="s">
        <v>181</v>
      </c>
      <c r="C153" s="56"/>
      <c r="D153" s="51">
        <v>1</v>
      </c>
      <c r="E153" s="69">
        <v>0.87</v>
      </c>
      <c r="F153" s="69"/>
      <c r="G153" s="69">
        <v>2.2000000000000002</v>
      </c>
      <c r="H153" s="69">
        <v>-2</v>
      </c>
      <c r="I153" s="69">
        <f t="shared" si="30"/>
        <v>-3.8280000000000003</v>
      </c>
      <c r="J153" s="69">
        <f t="shared" si="31"/>
        <v>-3.8280000000000003</v>
      </c>
      <c r="K153" s="2"/>
      <c r="M153" s="52"/>
    </row>
    <row r="154" spans="1:13" outlineLevel="1">
      <c r="A154" s="3"/>
      <c r="B154" s="53" t="s">
        <v>184</v>
      </c>
      <c r="C154" s="56"/>
      <c r="D154" s="51">
        <v>1</v>
      </c>
      <c r="E154" s="69">
        <v>2.1</v>
      </c>
      <c r="F154" s="69"/>
      <c r="G154" s="69">
        <v>2.2000000000000002</v>
      </c>
      <c r="H154" s="69">
        <v>-1</v>
      </c>
      <c r="I154" s="69">
        <f t="shared" si="30"/>
        <v>-4.620000000000001</v>
      </c>
      <c r="J154" s="69">
        <f t="shared" si="31"/>
        <v>-4.620000000000001</v>
      </c>
      <c r="K154" s="2"/>
      <c r="M154" s="52"/>
    </row>
    <row r="155" spans="1:13" outlineLevel="1">
      <c r="A155" s="3"/>
      <c r="B155" s="53" t="s">
        <v>189</v>
      </c>
      <c r="C155" s="56"/>
      <c r="D155" s="51">
        <v>1</v>
      </c>
      <c r="E155" s="69">
        <v>0.8</v>
      </c>
      <c r="F155" s="69"/>
      <c r="G155" s="69">
        <v>2.2000000000000002</v>
      </c>
      <c r="H155" s="69">
        <v>-1</v>
      </c>
      <c r="I155" s="69">
        <f t="shared" si="30"/>
        <v>-1.7600000000000002</v>
      </c>
      <c r="J155" s="69">
        <f t="shared" si="31"/>
        <v>-1.7600000000000002</v>
      </c>
      <c r="K155" s="2"/>
      <c r="M155" s="52"/>
    </row>
    <row r="156" spans="1:13" outlineLevel="1">
      <c r="A156" s="3"/>
      <c r="B156" s="32" t="s">
        <v>195</v>
      </c>
      <c r="C156" s="54"/>
      <c r="D156" s="3">
        <v>2</v>
      </c>
      <c r="E156" s="66"/>
      <c r="F156" s="66"/>
      <c r="G156" s="66"/>
      <c r="H156" s="66"/>
      <c r="I156" s="67">
        <f>+SUM(I157:I163)</f>
        <v>70.409749999999988</v>
      </c>
      <c r="J156" s="67">
        <f t="shared" si="31"/>
        <v>140.81949999999998</v>
      </c>
      <c r="K156" s="2" t="s">
        <v>203</v>
      </c>
      <c r="M156" s="52"/>
    </row>
    <row r="157" spans="1:13" outlineLevel="1">
      <c r="A157" s="2"/>
      <c r="B157" s="62" t="s">
        <v>177</v>
      </c>
      <c r="C157" s="55"/>
      <c r="D157" s="2"/>
      <c r="E157" s="70">
        <f>(3150+4250)/1000</f>
        <v>7.4</v>
      </c>
      <c r="F157" s="70"/>
      <c r="G157" s="70">
        <v>2.65</v>
      </c>
      <c r="H157" s="70">
        <v>1</v>
      </c>
      <c r="I157" s="69">
        <f t="shared" ref="I157:I163" si="32">PRODUCT(E157:H157)</f>
        <v>19.61</v>
      </c>
      <c r="J157" s="69">
        <f t="shared" si="31"/>
        <v>0</v>
      </c>
      <c r="K157" s="2"/>
      <c r="M157" s="52"/>
    </row>
    <row r="158" spans="1:13" outlineLevel="1">
      <c r="A158" s="3"/>
      <c r="B158" s="53" t="s">
        <v>181</v>
      </c>
      <c r="C158" s="56"/>
      <c r="D158" s="51">
        <v>1</v>
      </c>
      <c r="E158" s="69">
        <v>0.87</v>
      </c>
      <c r="F158" s="69"/>
      <c r="G158" s="69">
        <v>2.2000000000000002</v>
      </c>
      <c r="H158" s="69">
        <v>-1</v>
      </c>
      <c r="I158" s="69">
        <f t="shared" si="32"/>
        <v>-1.9140000000000001</v>
      </c>
      <c r="J158" s="69">
        <f t="shared" si="31"/>
        <v>-1.9140000000000001</v>
      </c>
      <c r="K158" s="2"/>
      <c r="M158" s="52"/>
    </row>
    <row r="159" spans="1:13" outlineLevel="1">
      <c r="A159" s="2"/>
      <c r="B159" s="62" t="s">
        <v>180</v>
      </c>
      <c r="C159" s="55"/>
      <c r="D159" s="2">
        <v>1</v>
      </c>
      <c r="E159" s="70">
        <f>(3215+850+265+1615+1400+550+1700+3250+3150+2950+4990)/1000</f>
        <v>23.934999999999999</v>
      </c>
      <c r="F159" s="70"/>
      <c r="G159" s="70">
        <v>2.65</v>
      </c>
      <c r="H159" s="70">
        <v>1</v>
      </c>
      <c r="I159" s="69">
        <f t="shared" si="32"/>
        <v>63.427749999999996</v>
      </c>
      <c r="J159" s="69">
        <f t="shared" si="31"/>
        <v>63.427749999999996</v>
      </c>
      <c r="K159" s="2"/>
      <c r="M159" s="52"/>
    </row>
    <row r="160" spans="1:13" outlineLevel="1">
      <c r="A160" s="3"/>
      <c r="B160" s="53" t="s">
        <v>185</v>
      </c>
      <c r="C160" s="56"/>
      <c r="D160" s="51">
        <v>1</v>
      </c>
      <c r="E160" s="69">
        <v>1.1000000000000001</v>
      </c>
      <c r="F160" s="69"/>
      <c r="G160" s="69">
        <v>2.2000000000000002</v>
      </c>
      <c r="H160" s="69">
        <v>-1</v>
      </c>
      <c r="I160" s="69">
        <f t="shared" si="32"/>
        <v>-2.4200000000000004</v>
      </c>
      <c r="J160" s="69">
        <f t="shared" si="31"/>
        <v>-2.4200000000000004</v>
      </c>
      <c r="K160" s="2"/>
      <c r="M160" s="52"/>
    </row>
    <row r="161" spans="1:13" outlineLevel="1">
      <c r="A161" s="3"/>
      <c r="B161" s="53" t="s">
        <v>181</v>
      </c>
      <c r="C161" s="56"/>
      <c r="D161" s="51">
        <v>1</v>
      </c>
      <c r="E161" s="69">
        <v>0.87</v>
      </c>
      <c r="F161" s="69"/>
      <c r="G161" s="69">
        <v>2.2000000000000002</v>
      </c>
      <c r="H161" s="69">
        <v>-1</v>
      </c>
      <c r="I161" s="69">
        <f t="shared" si="32"/>
        <v>-1.9140000000000001</v>
      </c>
      <c r="J161" s="69">
        <f t="shared" si="31"/>
        <v>-1.9140000000000001</v>
      </c>
      <c r="K161" s="2"/>
      <c r="M161" s="52"/>
    </row>
    <row r="162" spans="1:13" outlineLevel="1">
      <c r="A162" s="3"/>
      <c r="B162" s="53" t="s">
        <v>189</v>
      </c>
      <c r="C162" s="56"/>
      <c r="D162" s="51">
        <v>1</v>
      </c>
      <c r="E162" s="69">
        <v>0.8</v>
      </c>
      <c r="F162" s="69"/>
      <c r="G162" s="69">
        <v>2.2000000000000002</v>
      </c>
      <c r="H162" s="69">
        <v>-1</v>
      </c>
      <c r="I162" s="69">
        <f t="shared" si="32"/>
        <v>-1.7600000000000002</v>
      </c>
      <c r="J162" s="69">
        <f t="shared" si="31"/>
        <v>-1.7600000000000002</v>
      </c>
      <c r="K162" s="2"/>
      <c r="M162" s="52"/>
    </row>
    <row r="163" spans="1:13" outlineLevel="1">
      <c r="A163" s="3"/>
      <c r="B163" s="53" t="s">
        <v>184</v>
      </c>
      <c r="C163" s="56"/>
      <c r="D163" s="51">
        <v>1</v>
      </c>
      <c r="E163" s="69">
        <v>2.1</v>
      </c>
      <c r="F163" s="69"/>
      <c r="G163" s="69">
        <v>2.2000000000000002</v>
      </c>
      <c r="H163" s="69">
        <v>-1</v>
      </c>
      <c r="I163" s="69">
        <f t="shared" si="32"/>
        <v>-4.620000000000001</v>
      </c>
      <c r="J163" s="69">
        <f t="shared" si="31"/>
        <v>-4.620000000000001</v>
      </c>
      <c r="K163" s="2"/>
      <c r="M163" s="52"/>
    </row>
    <row r="164" spans="1:13" outlineLevel="1">
      <c r="A164" s="3"/>
      <c r="B164" s="32" t="s">
        <v>196</v>
      </c>
      <c r="C164" s="54"/>
      <c r="D164" s="3">
        <v>2</v>
      </c>
      <c r="E164" s="66"/>
      <c r="F164" s="66"/>
      <c r="G164" s="66"/>
      <c r="H164" s="66"/>
      <c r="I164" s="67">
        <f>+SUM(I165:I175)</f>
        <v>125.00474999999999</v>
      </c>
      <c r="J164" s="67">
        <f t="shared" si="31"/>
        <v>250.00949999999997</v>
      </c>
      <c r="K164" s="2" t="s">
        <v>204</v>
      </c>
      <c r="M164" s="52"/>
    </row>
    <row r="165" spans="1:13" outlineLevel="1">
      <c r="A165" s="2"/>
      <c r="B165" s="62" t="s">
        <v>177</v>
      </c>
      <c r="C165" s="55"/>
      <c r="D165" s="2">
        <v>1</v>
      </c>
      <c r="E165" s="70">
        <f>(4300+900+1000+1900+3050)/1000</f>
        <v>11.15</v>
      </c>
      <c r="F165" s="70"/>
      <c r="G165" s="70">
        <v>2.65</v>
      </c>
      <c r="H165" s="70">
        <v>1</v>
      </c>
      <c r="I165" s="69">
        <f t="shared" ref="I165:I175" si="33">PRODUCT(E165:H165)</f>
        <v>29.547499999999999</v>
      </c>
      <c r="J165" s="69">
        <f t="shared" si="31"/>
        <v>29.547499999999999</v>
      </c>
      <c r="K165" s="2"/>
      <c r="M165" s="52"/>
    </row>
    <row r="166" spans="1:13" outlineLevel="1">
      <c r="A166" s="2"/>
      <c r="B166" s="53" t="s">
        <v>181</v>
      </c>
      <c r="C166" s="56"/>
      <c r="D166" s="51">
        <v>1</v>
      </c>
      <c r="E166" s="69">
        <v>0.87</v>
      </c>
      <c r="F166" s="69"/>
      <c r="G166" s="69">
        <v>2.2000000000000002</v>
      </c>
      <c r="H166" s="69">
        <v>-1</v>
      </c>
      <c r="I166" s="69">
        <f t="shared" si="33"/>
        <v>-1.9140000000000001</v>
      </c>
      <c r="J166" s="69">
        <f t="shared" si="31"/>
        <v>-1.9140000000000001</v>
      </c>
      <c r="K166" s="2"/>
      <c r="M166" s="52"/>
    </row>
    <row r="167" spans="1:13" outlineLevel="1">
      <c r="A167" s="2"/>
      <c r="B167" s="53" t="s">
        <v>183</v>
      </c>
      <c r="C167" s="56"/>
      <c r="D167" s="51">
        <v>1</v>
      </c>
      <c r="E167" s="69">
        <v>0.77</v>
      </c>
      <c r="F167" s="69"/>
      <c r="G167" s="69">
        <v>2.2000000000000002</v>
      </c>
      <c r="H167" s="69">
        <v>-1</v>
      </c>
      <c r="I167" s="69">
        <f t="shared" si="33"/>
        <v>-1.6940000000000002</v>
      </c>
      <c r="J167" s="69">
        <f t="shared" si="31"/>
        <v>-1.6940000000000002</v>
      </c>
      <c r="K167" s="2"/>
      <c r="M167" s="52"/>
    </row>
    <row r="168" spans="1:13" outlineLevel="1">
      <c r="A168" s="2"/>
      <c r="B168" s="62" t="s">
        <v>179</v>
      </c>
      <c r="C168" s="55"/>
      <c r="D168" s="2">
        <v>1</v>
      </c>
      <c r="E168" s="70">
        <f>(2950+3050+2960)/1000</f>
        <v>8.9600000000000009</v>
      </c>
      <c r="F168" s="70"/>
      <c r="G168" s="70">
        <v>2.65</v>
      </c>
      <c r="H168" s="70">
        <v>1</v>
      </c>
      <c r="I168" s="69">
        <f t="shared" si="33"/>
        <v>23.744</v>
      </c>
      <c r="J168" s="69">
        <f t="shared" si="31"/>
        <v>23.744</v>
      </c>
      <c r="K168" s="2"/>
      <c r="M168" s="52"/>
    </row>
    <row r="169" spans="1:13" outlineLevel="1">
      <c r="A169" s="2"/>
      <c r="B169" s="53" t="s">
        <v>181</v>
      </c>
      <c r="C169" s="56"/>
      <c r="D169" s="51">
        <v>1</v>
      </c>
      <c r="E169" s="69">
        <v>0.87</v>
      </c>
      <c r="F169" s="69"/>
      <c r="G169" s="69">
        <v>2.2000000000000002</v>
      </c>
      <c r="H169" s="69">
        <v>-1</v>
      </c>
      <c r="I169" s="69">
        <f t="shared" si="33"/>
        <v>-1.9140000000000001</v>
      </c>
      <c r="J169" s="69">
        <f t="shared" si="31"/>
        <v>-1.9140000000000001</v>
      </c>
      <c r="K169" s="2"/>
      <c r="M169" s="52"/>
    </row>
    <row r="170" spans="1:13" outlineLevel="1">
      <c r="A170" s="2"/>
      <c r="B170" s="62" t="s">
        <v>180</v>
      </c>
      <c r="C170" s="55"/>
      <c r="D170" s="2">
        <v>1</v>
      </c>
      <c r="E170" s="70">
        <f>(6915+4300+1150+100+1050+3050+1950+3150+2050+3000+3400+1000+900+1055+1455)/1000</f>
        <v>34.524999999999999</v>
      </c>
      <c r="F170" s="70"/>
      <c r="G170" s="70">
        <v>2.65</v>
      </c>
      <c r="H170" s="70">
        <v>1</v>
      </c>
      <c r="I170" s="69">
        <f t="shared" si="33"/>
        <v>91.491249999999994</v>
      </c>
      <c r="J170" s="69">
        <f t="shared" si="31"/>
        <v>91.491249999999994</v>
      </c>
      <c r="K170" s="2"/>
      <c r="M170" s="52"/>
    </row>
    <row r="171" spans="1:13" outlineLevel="1">
      <c r="A171" s="3"/>
      <c r="B171" s="53" t="s">
        <v>185</v>
      </c>
      <c r="C171" s="56"/>
      <c r="D171" s="51">
        <v>1</v>
      </c>
      <c r="E171" s="69">
        <v>1.1000000000000001</v>
      </c>
      <c r="F171" s="69"/>
      <c r="G171" s="69">
        <v>2.2000000000000002</v>
      </c>
      <c r="H171" s="69">
        <v>-1</v>
      </c>
      <c r="I171" s="69">
        <f t="shared" si="33"/>
        <v>-2.4200000000000004</v>
      </c>
      <c r="J171" s="69">
        <f t="shared" si="31"/>
        <v>-2.4200000000000004</v>
      </c>
      <c r="K171" s="2"/>
      <c r="M171" s="52"/>
    </row>
    <row r="172" spans="1:13" outlineLevel="1">
      <c r="A172" s="3"/>
      <c r="B172" s="53" t="s">
        <v>188</v>
      </c>
      <c r="C172" s="56"/>
      <c r="D172" s="51">
        <v>1</v>
      </c>
      <c r="E172" s="69">
        <v>0.77</v>
      </c>
      <c r="F172" s="69"/>
      <c r="G172" s="69">
        <v>2.2000000000000002</v>
      </c>
      <c r="H172" s="69">
        <v>-1</v>
      </c>
      <c r="I172" s="69">
        <f t="shared" si="33"/>
        <v>-1.6940000000000002</v>
      </c>
      <c r="J172" s="69">
        <f t="shared" si="31"/>
        <v>-1.6940000000000002</v>
      </c>
      <c r="K172" s="2"/>
      <c r="M172" s="52"/>
    </row>
    <row r="173" spans="1:13" outlineLevel="1">
      <c r="A173" s="2"/>
      <c r="B173" s="53" t="s">
        <v>181</v>
      </c>
      <c r="C173" s="56"/>
      <c r="D173" s="51">
        <v>1</v>
      </c>
      <c r="E173" s="69">
        <v>0.87</v>
      </c>
      <c r="F173" s="69"/>
      <c r="G173" s="69">
        <v>2.2000000000000002</v>
      </c>
      <c r="H173" s="69">
        <v>-2</v>
      </c>
      <c r="I173" s="69">
        <f t="shared" si="33"/>
        <v>-3.8280000000000003</v>
      </c>
      <c r="J173" s="69">
        <f t="shared" si="31"/>
        <v>-3.8280000000000003</v>
      </c>
      <c r="K173" s="2"/>
      <c r="M173" s="52"/>
    </row>
    <row r="174" spans="1:13" outlineLevel="1">
      <c r="A174" s="3"/>
      <c r="B174" s="53" t="s">
        <v>184</v>
      </c>
      <c r="C174" s="56"/>
      <c r="D174" s="51">
        <v>1</v>
      </c>
      <c r="E174" s="69">
        <v>2.1</v>
      </c>
      <c r="F174" s="69"/>
      <c r="G174" s="69">
        <v>2.2000000000000002</v>
      </c>
      <c r="H174" s="69">
        <v>-1</v>
      </c>
      <c r="I174" s="69">
        <f t="shared" si="33"/>
        <v>-4.620000000000001</v>
      </c>
      <c r="J174" s="69">
        <f t="shared" si="31"/>
        <v>-4.620000000000001</v>
      </c>
      <c r="K174" s="2"/>
      <c r="M174" s="52"/>
    </row>
    <row r="175" spans="1:13" outlineLevel="1">
      <c r="A175" s="2"/>
      <c r="B175" s="53" t="s">
        <v>183</v>
      </c>
      <c r="C175" s="56"/>
      <c r="D175" s="51">
        <v>1</v>
      </c>
      <c r="E175" s="69">
        <v>0.77</v>
      </c>
      <c r="F175" s="69"/>
      <c r="G175" s="69">
        <v>2.2000000000000002</v>
      </c>
      <c r="H175" s="69">
        <v>-1</v>
      </c>
      <c r="I175" s="69">
        <f t="shared" si="33"/>
        <v>-1.6940000000000002</v>
      </c>
      <c r="J175" s="69">
        <f t="shared" si="31"/>
        <v>-1.6940000000000002</v>
      </c>
      <c r="K175" s="2"/>
      <c r="M175" s="52"/>
    </row>
    <row r="176" spans="1:13" s="4" customFormat="1" ht="14.25" outlineLevel="1">
      <c r="A176" s="3"/>
      <c r="B176" s="32" t="s">
        <v>101</v>
      </c>
      <c r="C176" s="54"/>
      <c r="D176" s="3">
        <v>2</v>
      </c>
      <c r="E176" s="66"/>
      <c r="F176" s="66"/>
      <c r="G176" s="66"/>
      <c r="H176" s="66"/>
      <c r="I176" s="67">
        <f>+SUM(I177:I179)</f>
        <v>286.39499999999998</v>
      </c>
      <c r="J176" s="67">
        <f t="shared" si="31"/>
        <v>572.79</v>
      </c>
      <c r="K176" s="3"/>
      <c r="M176" s="63"/>
    </row>
    <row r="177" spans="1:14" outlineLevel="1">
      <c r="A177" s="2"/>
      <c r="B177" s="53" t="s">
        <v>206</v>
      </c>
      <c r="C177" s="56"/>
      <c r="D177" s="51">
        <v>1</v>
      </c>
      <c r="E177" s="69">
        <f>(5600+7100+9050+7100+7100+7100+10100+7100+5600+5600+7200+6050+7100+7100+6050+7100+5600)/1000</f>
        <v>117.65</v>
      </c>
      <c r="F177" s="69"/>
      <c r="G177" s="69">
        <v>2.5</v>
      </c>
      <c r="H177" s="69">
        <v>1</v>
      </c>
      <c r="I177" s="69">
        <f t="shared" ref="I177:I179" si="34">PRODUCT(E177:H177)</f>
        <v>294.125</v>
      </c>
      <c r="J177" s="69">
        <f t="shared" si="31"/>
        <v>294.125</v>
      </c>
      <c r="K177" s="2"/>
      <c r="M177" s="52"/>
    </row>
    <row r="178" spans="1:14" outlineLevel="1">
      <c r="A178" s="2"/>
      <c r="B178" s="53"/>
      <c r="C178" s="56"/>
      <c r="D178" s="51">
        <v>1</v>
      </c>
      <c r="E178" s="69">
        <f>7.65*2</f>
        <v>15.3</v>
      </c>
      <c r="F178" s="69"/>
      <c r="G178" s="69">
        <v>2.5</v>
      </c>
      <c r="H178" s="69">
        <v>1</v>
      </c>
      <c r="I178" s="69">
        <f t="shared" si="34"/>
        <v>38.25</v>
      </c>
      <c r="J178" s="69">
        <f t="shared" si="31"/>
        <v>38.25</v>
      </c>
      <c r="K178" s="2"/>
      <c r="M178" s="52"/>
    </row>
    <row r="179" spans="1:14" outlineLevel="1">
      <c r="A179" s="3"/>
      <c r="B179" s="53" t="s">
        <v>185</v>
      </c>
      <c r="C179" s="56"/>
      <c r="D179" s="51">
        <v>1</v>
      </c>
      <c r="E179" s="69">
        <v>1.1000000000000001</v>
      </c>
      <c r="F179" s="69"/>
      <c r="G179" s="69">
        <v>2.2000000000000002</v>
      </c>
      <c r="H179" s="69">
        <v>-19</v>
      </c>
      <c r="I179" s="69">
        <f t="shared" si="34"/>
        <v>-45.980000000000004</v>
      </c>
      <c r="J179" s="69">
        <f t="shared" si="31"/>
        <v>-45.980000000000004</v>
      </c>
      <c r="K179" s="2"/>
      <c r="M179" s="52"/>
    </row>
    <row r="180" spans="1:14">
      <c r="A180" s="58">
        <v>3</v>
      </c>
      <c r="B180" s="59" t="s">
        <v>174</v>
      </c>
      <c r="C180" s="60"/>
      <c r="D180" s="58">
        <v>1</v>
      </c>
      <c r="E180" s="68"/>
      <c r="F180" s="68"/>
      <c r="G180" s="68"/>
      <c r="H180" s="68"/>
      <c r="I180" s="68">
        <f>+J181+J193+J206+J218+J229+J237+J249</f>
        <v>4186.4271999999992</v>
      </c>
      <c r="J180" s="68">
        <f>+D180*I180</f>
        <v>4186.4271999999992</v>
      </c>
      <c r="K180" s="61"/>
      <c r="M180" s="52"/>
    </row>
    <row r="181" spans="1:14" ht="29.25" outlineLevel="1">
      <c r="A181" s="3"/>
      <c r="B181" s="32" t="s">
        <v>190</v>
      </c>
      <c r="C181" s="54"/>
      <c r="D181" s="3">
        <v>8</v>
      </c>
      <c r="E181" s="66"/>
      <c r="F181" s="66"/>
      <c r="G181" s="66"/>
      <c r="H181" s="66"/>
      <c r="I181" s="67">
        <f>+SUM(I182:I192)</f>
        <v>112.07274999999997</v>
      </c>
      <c r="J181" s="67">
        <f>+D181*I181</f>
        <v>896.58199999999977</v>
      </c>
      <c r="K181" s="2"/>
      <c r="M181" s="52"/>
      <c r="N181" s="52"/>
    </row>
    <row r="182" spans="1:14" outlineLevel="1">
      <c r="A182" s="3"/>
      <c r="B182" s="53" t="s">
        <v>177</v>
      </c>
      <c r="C182" s="56"/>
      <c r="D182" s="51">
        <v>1</v>
      </c>
      <c r="E182" s="69">
        <f>2.9+3</f>
        <v>5.9</v>
      </c>
      <c r="F182" s="69"/>
      <c r="G182" s="69">
        <v>2.65</v>
      </c>
      <c r="H182" s="69">
        <v>1</v>
      </c>
      <c r="I182" s="69">
        <f t="shared" ref="I182:I192" si="35">PRODUCT(E182:H182)</f>
        <v>15.635</v>
      </c>
      <c r="J182" s="69">
        <f t="shared" ref="J182:J192" si="36">I182*D182</f>
        <v>15.635</v>
      </c>
      <c r="K182" s="2" t="s">
        <v>197</v>
      </c>
      <c r="M182" s="52"/>
    </row>
    <row r="183" spans="1:14" outlineLevel="1">
      <c r="A183" s="3"/>
      <c r="B183" s="53" t="s">
        <v>13</v>
      </c>
      <c r="C183" s="56"/>
      <c r="D183" s="51">
        <v>1</v>
      </c>
      <c r="E183" s="69">
        <v>0.87</v>
      </c>
      <c r="F183" s="69"/>
      <c r="G183" s="69">
        <v>2.2000000000000002</v>
      </c>
      <c r="H183" s="69">
        <v>-1</v>
      </c>
      <c r="I183" s="69">
        <f t="shared" si="35"/>
        <v>-1.9140000000000001</v>
      </c>
      <c r="J183" s="69">
        <f t="shared" si="36"/>
        <v>-1.9140000000000001</v>
      </c>
      <c r="K183" s="2"/>
      <c r="M183" s="52"/>
    </row>
    <row r="184" spans="1:14" outlineLevel="1">
      <c r="A184" s="3"/>
      <c r="B184" s="53" t="s">
        <v>179</v>
      </c>
      <c r="C184" s="56"/>
      <c r="D184" s="51">
        <v>1</v>
      </c>
      <c r="E184" s="69">
        <f>(6050+1050+1200+1900+3200)/1000</f>
        <v>13.4</v>
      </c>
      <c r="F184" s="69"/>
      <c r="G184" s="69">
        <v>2.65</v>
      </c>
      <c r="H184" s="69">
        <v>1</v>
      </c>
      <c r="I184" s="69">
        <f t="shared" si="35"/>
        <v>35.51</v>
      </c>
      <c r="J184" s="69">
        <f t="shared" si="36"/>
        <v>35.51</v>
      </c>
      <c r="K184" s="2"/>
      <c r="M184" s="52"/>
    </row>
    <row r="185" spans="1:14" outlineLevel="1">
      <c r="A185" s="3"/>
      <c r="B185" s="53" t="s">
        <v>181</v>
      </c>
      <c r="C185" s="56"/>
      <c r="D185" s="51">
        <v>1</v>
      </c>
      <c r="E185" s="69">
        <v>0.87</v>
      </c>
      <c r="F185" s="69"/>
      <c r="G185" s="69">
        <v>2.2000000000000002</v>
      </c>
      <c r="H185" s="69">
        <v>-1</v>
      </c>
      <c r="I185" s="69">
        <f t="shared" si="35"/>
        <v>-1.9140000000000001</v>
      </c>
      <c r="J185" s="69">
        <f t="shared" si="36"/>
        <v>-1.9140000000000001</v>
      </c>
      <c r="K185" s="2"/>
      <c r="M185" s="52"/>
    </row>
    <row r="186" spans="1:14" outlineLevel="1">
      <c r="A186" s="3"/>
      <c r="B186" s="53" t="s">
        <v>183</v>
      </c>
      <c r="C186" s="56"/>
      <c r="D186" s="51">
        <v>1</v>
      </c>
      <c r="E186" s="69">
        <v>0.77</v>
      </c>
      <c r="F186" s="69"/>
      <c r="G186" s="69">
        <v>2.2000000000000002</v>
      </c>
      <c r="H186" s="69">
        <v>-1</v>
      </c>
      <c r="I186" s="69">
        <f t="shared" si="35"/>
        <v>-1.6940000000000002</v>
      </c>
      <c r="J186" s="69">
        <f t="shared" si="36"/>
        <v>-1.6940000000000002</v>
      </c>
      <c r="K186" s="2"/>
      <c r="M186" s="52"/>
    </row>
    <row r="187" spans="1:14" outlineLevel="1">
      <c r="A187" s="3"/>
      <c r="B187" s="53" t="s">
        <v>180</v>
      </c>
      <c r="C187" s="56"/>
      <c r="D187" s="51">
        <v>1</v>
      </c>
      <c r="E187" s="69">
        <f>(2900+600+100+3000+3100+2950+5150+1150+905+1150+1500+2650+1300+100+600+1750+1550)/1000</f>
        <v>30.454999999999998</v>
      </c>
      <c r="F187" s="69"/>
      <c r="G187" s="69">
        <v>2.65</v>
      </c>
      <c r="H187" s="69">
        <v>1</v>
      </c>
      <c r="I187" s="69">
        <f t="shared" si="35"/>
        <v>80.705749999999995</v>
      </c>
      <c r="J187" s="69">
        <f t="shared" si="36"/>
        <v>80.705749999999995</v>
      </c>
      <c r="K187" s="2"/>
      <c r="M187" s="52"/>
    </row>
    <row r="188" spans="1:14" outlineLevel="1">
      <c r="A188" s="3"/>
      <c r="B188" s="53" t="s">
        <v>181</v>
      </c>
      <c r="C188" s="56"/>
      <c r="D188" s="51">
        <v>1</v>
      </c>
      <c r="E188" s="69">
        <v>0.87</v>
      </c>
      <c r="F188" s="69"/>
      <c r="G188" s="69">
        <v>2.2000000000000002</v>
      </c>
      <c r="H188" s="69">
        <v>-2</v>
      </c>
      <c r="I188" s="69">
        <f t="shared" si="35"/>
        <v>-3.8280000000000003</v>
      </c>
      <c r="J188" s="69">
        <f t="shared" si="36"/>
        <v>-3.8280000000000003</v>
      </c>
      <c r="K188" s="2"/>
      <c r="M188" s="52"/>
    </row>
    <row r="189" spans="1:14" outlineLevel="1">
      <c r="A189" s="3"/>
      <c r="B189" s="53" t="s">
        <v>182</v>
      </c>
      <c r="C189" s="56"/>
      <c r="D189" s="51">
        <v>1</v>
      </c>
      <c r="E189" s="69">
        <v>0.77</v>
      </c>
      <c r="F189" s="69"/>
      <c r="G189" s="69">
        <v>2.2000000000000002</v>
      </c>
      <c r="H189" s="69">
        <v>-1</v>
      </c>
      <c r="I189" s="69">
        <f t="shared" si="35"/>
        <v>-1.6940000000000002</v>
      </c>
      <c r="J189" s="69">
        <f t="shared" si="36"/>
        <v>-1.6940000000000002</v>
      </c>
      <c r="K189" s="2"/>
      <c r="M189" s="52"/>
    </row>
    <row r="190" spans="1:14" outlineLevel="1">
      <c r="A190" s="3"/>
      <c r="B190" s="53" t="s">
        <v>183</v>
      </c>
      <c r="C190" s="56"/>
      <c r="D190" s="51">
        <v>1</v>
      </c>
      <c r="E190" s="69">
        <v>0.77</v>
      </c>
      <c r="F190" s="69"/>
      <c r="G190" s="69">
        <v>2.2000000000000002</v>
      </c>
      <c r="H190" s="69">
        <v>-1</v>
      </c>
      <c r="I190" s="69">
        <f t="shared" si="35"/>
        <v>-1.6940000000000002</v>
      </c>
      <c r="J190" s="69">
        <f t="shared" si="36"/>
        <v>-1.6940000000000002</v>
      </c>
      <c r="K190" s="2"/>
      <c r="M190" s="52"/>
    </row>
    <row r="191" spans="1:14" outlineLevel="1">
      <c r="A191" s="3"/>
      <c r="B191" s="53" t="s">
        <v>185</v>
      </c>
      <c r="C191" s="56"/>
      <c r="D191" s="51">
        <v>1</v>
      </c>
      <c r="E191" s="69">
        <v>1.1000000000000001</v>
      </c>
      <c r="F191" s="69"/>
      <c r="G191" s="69">
        <v>2.2000000000000002</v>
      </c>
      <c r="H191" s="69">
        <v>-1</v>
      </c>
      <c r="I191" s="69">
        <f t="shared" si="35"/>
        <v>-2.4200000000000004</v>
      </c>
      <c r="J191" s="69">
        <f t="shared" si="36"/>
        <v>-2.4200000000000004</v>
      </c>
      <c r="K191" s="2"/>
      <c r="M191" s="52"/>
    </row>
    <row r="192" spans="1:14" outlineLevel="1">
      <c r="A192" s="3"/>
      <c r="B192" s="53" t="s">
        <v>184</v>
      </c>
      <c r="C192" s="56"/>
      <c r="D192" s="51">
        <v>1</v>
      </c>
      <c r="E192" s="69">
        <v>2.1</v>
      </c>
      <c r="F192" s="69"/>
      <c r="G192" s="69">
        <v>2.2000000000000002</v>
      </c>
      <c r="H192" s="69">
        <v>-1</v>
      </c>
      <c r="I192" s="69">
        <f t="shared" si="35"/>
        <v>-4.620000000000001</v>
      </c>
      <c r="J192" s="69">
        <f t="shared" si="36"/>
        <v>-4.620000000000001</v>
      </c>
      <c r="K192" s="2"/>
      <c r="M192" s="52"/>
    </row>
    <row r="193" spans="1:13" ht="43.5" outlineLevel="1">
      <c r="A193" s="3"/>
      <c r="B193" s="32" t="s">
        <v>192</v>
      </c>
      <c r="C193" s="54" t="s">
        <v>12</v>
      </c>
      <c r="D193" s="3">
        <v>18</v>
      </c>
      <c r="E193" s="66"/>
      <c r="F193" s="66"/>
      <c r="G193" s="66"/>
      <c r="H193" s="66"/>
      <c r="I193" s="67">
        <f>+SUM(I194:I205)</f>
        <v>107.65424999999998</v>
      </c>
      <c r="J193" s="67">
        <f>+D193*I193</f>
        <v>1937.7764999999995</v>
      </c>
      <c r="K193" s="2"/>
      <c r="M193" s="52"/>
    </row>
    <row r="194" spans="1:13" outlineLevel="1">
      <c r="A194" s="3"/>
      <c r="B194" s="53" t="s">
        <v>177</v>
      </c>
      <c r="C194" s="56"/>
      <c r="D194" s="51">
        <v>1</v>
      </c>
      <c r="E194" s="69">
        <f>(3050+3000+3050)/1000</f>
        <v>9.1</v>
      </c>
      <c r="F194" s="69"/>
      <c r="G194" s="69">
        <v>2.65</v>
      </c>
      <c r="H194" s="69">
        <v>1</v>
      </c>
      <c r="I194" s="69">
        <f t="shared" ref="I194:I205" si="37">PRODUCT(E194:H194)</f>
        <v>24.114999999999998</v>
      </c>
      <c r="J194" s="69">
        <f t="shared" ref="J194:J217" si="38">I194*D194</f>
        <v>24.114999999999998</v>
      </c>
      <c r="K194" s="2" t="s">
        <v>198</v>
      </c>
      <c r="M194" s="52"/>
    </row>
    <row r="195" spans="1:13" outlineLevel="1">
      <c r="A195" s="3"/>
      <c r="B195" s="53" t="s">
        <v>181</v>
      </c>
      <c r="C195" s="56"/>
      <c r="D195" s="51">
        <v>1</v>
      </c>
      <c r="E195" s="69">
        <v>0.87</v>
      </c>
      <c r="F195" s="69"/>
      <c r="G195" s="69">
        <v>2.2000000000000002</v>
      </c>
      <c r="H195" s="69">
        <v>-1</v>
      </c>
      <c r="I195" s="69">
        <f t="shared" si="37"/>
        <v>-1.9140000000000001</v>
      </c>
      <c r="J195" s="69">
        <f t="shared" si="38"/>
        <v>-1.9140000000000001</v>
      </c>
      <c r="K195" s="2"/>
      <c r="M195" s="52"/>
    </row>
    <row r="196" spans="1:13" outlineLevel="1">
      <c r="A196" s="3"/>
      <c r="B196" s="53" t="s">
        <v>179</v>
      </c>
      <c r="C196" s="56"/>
      <c r="D196" s="51">
        <v>1</v>
      </c>
      <c r="E196" s="69">
        <f>(2770+2550+1450+1205+4320+1840)/1000</f>
        <v>14.135</v>
      </c>
      <c r="F196" s="69"/>
      <c r="G196" s="69">
        <v>2.65</v>
      </c>
      <c r="H196" s="69">
        <v>1</v>
      </c>
      <c r="I196" s="69">
        <f t="shared" si="37"/>
        <v>37.457749999999997</v>
      </c>
      <c r="J196" s="69">
        <f t="shared" si="38"/>
        <v>37.457749999999997</v>
      </c>
      <c r="K196" s="2"/>
      <c r="M196" s="52"/>
    </row>
    <row r="197" spans="1:13" outlineLevel="1">
      <c r="A197" s="3"/>
      <c r="B197" s="53" t="s">
        <v>181</v>
      </c>
      <c r="C197" s="56"/>
      <c r="D197" s="51">
        <v>1</v>
      </c>
      <c r="E197" s="69">
        <v>0.87</v>
      </c>
      <c r="F197" s="69"/>
      <c r="G197" s="69">
        <v>2.2000000000000002</v>
      </c>
      <c r="H197" s="69">
        <v>-1</v>
      </c>
      <c r="I197" s="69">
        <f t="shared" si="37"/>
        <v>-1.9140000000000001</v>
      </c>
      <c r="J197" s="69">
        <f t="shared" si="38"/>
        <v>-1.9140000000000001</v>
      </c>
      <c r="K197" s="2"/>
      <c r="M197" s="52"/>
    </row>
    <row r="198" spans="1:13" outlineLevel="1">
      <c r="A198" s="3"/>
      <c r="B198" s="53" t="s">
        <v>183</v>
      </c>
      <c r="C198" s="56"/>
      <c r="D198" s="51">
        <v>1</v>
      </c>
      <c r="E198" s="69">
        <v>0.77</v>
      </c>
      <c r="F198" s="69"/>
      <c r="G198" s="69">
        <v>2.2000000000000002</v>
      </c>
      <c r="H198" s="69">
        <v>-1</v>
      </c>
      <c r="I198" s="69">
        <f t="shared" si="37"/>
        <v>-1.6940000000000002</v>
      </c>
      <c r="J198" s="69">
        <f t="shared" si="38"/>
        <v>-1.6940000000000002</v>
      </c>
      <c r="K198" s="2"/>
      <c r="M198" s="52"/>
    </row>
    <row r="199" spans="1:13" outlineLevel="1">
      <c r="A199" s="3"/>
      <c r="B199" s="53" t="s">
        <v>187</v>
      </c>
      <c r="C199" s="56"/>
      <c r="D199" s="51">
        <v>1</v>
      </c>
      <c r="E199" s="69">
        <v>0.9</v>
      </c>
      <c r="F199" s="69"/>
      <c r="G199" s="69">
        <f>0.85*2</f>
        <v>1.7</v>
      </c>
      <c r="H199" s="69">
        <v>-1</v>
      </c>
      <c r="I199" s="69">
        <f t="shared" si="37"/>
        <v>-1.53</v>
      </c>
      <c r="J199" s="69">
        <f t="shared" si="38"/>
        <v>-1.53</v>
      </c>
      <c r="K199" s="2"/>
      <c r="M199" s="52"/>
    </row>
    <row r="200" spans="1:13" outlineLevel="1">
      <c r="A200" s="3"/>
      <c r="B200" s="53" t="s">
        <v>180</v>
      </c>
      <c r="C200" s="56"/>
      <c r="D200" s="51">
        <v>1</v>
      </c>
      <c r="E200" s="69">
        <f>(1330+3855+2840+950+3100+2150+2850+4255+1450+2650)/1000</f>
        <v>25.43</v>
      </c>
      <c r="F200" s="69"/>
      <c r="G200" s="69">
        <v>2.65</v>
      </c>
      <c r="H200" s="69">
        <v>1</v>
      </c>
      <c r="I200" s="69">
        <f t="shared" si="37"/>
        <v>67.389499999999998</v>
      </c>
      <c r="J200" s="69">
        <f t="shared" si="38"/>
        <v>67.389499999999998</v>
      </c>
      <c r="K200" s="2"/>
      <c r="M200" s="52"/>
    </row>
    <row r="201" spans="1:13" outlineLevel="1">
      <c r="A201" s="3"/>
      <c r="B201" s="53" t="s">
        <v>185</v>
      </c>
      <c r="C201" s="56"/>
      <c r="D201" s="51">
        <v>1</v>
      </c>
      <c r="E201" s="69">
        <v>1.1000000000000001</v>
      </c>
      <c r="F201" s="69"/>
      <c r="G201" s="69">
        <v>2.2000000000000002</v>
      </c>
      <c r="H201" s="69">
        <v>-1</v>
      </c>
      <c r="I201" s="69">
        <f t="shared" si="37"/>
        <v>-2.4200000000000004</v>
      </c>
      <c r="J201" s="69">
        <f t="shared" si="38"/>
        <v>-2.4200000000000004</v>
      </c>
      <c r="K201" s="2"/>
      <c r="M201" s="52"/>
    </row>
    <row r="202" spans="1:13" outlineLevel="1">
      <c r="A202" s="3"/>
      <c r="B202" s="53" t="s">
        <v>181</v>
      </c>
      <c r="C202" s="56"/>
      <c r="D202" s="51">
        <v>1</v>
      </c>
      <c r="E202" s="69">
        <v>0.87</v>
      </c>
      <c r="F202" s="69"/>
      <c r="G202" s="69">
        <v>2.2000000000000002</v>
      </c>
      <c r="H202" s="69">
        <v>-2</v>
      </c>
      <c r="I202" s="69">
        <f t="shared" si="37"/>
        <v>-3.8280000000000003</v>
      </c>
      <c r="J202" s="69">
        <f t="shared" si="38"/>
        <v>-3.8280000000000003</v>
      </c>
      <c r="K202" s="2"/>
      <c r="M202" s="52"/>
    </row>
    <row r="203" spans="1:13" outlineLevel="1">
      <c r="A203" s="3"/>
      <c r="B203" s="53" t="s">
        <v>188</v>
      </c>
      <c r="C203" s="56"/>
      <c r="D203" s="51">
        <v>1</v>
      </c>
      <c r="E203" s="69">
        <v>0.77</v>
      </c>
      <c r="F203" s="69"/>
      <c r="G203" s="69">
        <v>2.2000000000000002</v>
      </c>
      <c r="H203" s="69">
        <v>-1</v>
      </c>
      <c r="I203" s="69">
        <f t="shared" si="37"/>
        <v>-1.6940000000000002</v>
      </c>
      <c r="J203" s="69">
        <f t="shared" si="38"/>
        <v>-1.6940000000000002</v>
      </c>
      <c r="K203" s="2"/>
      <c r="M203" s="52"/>
    </row>
    <row r="204" spans="1:13" outlineLevel="1">
      <c r="A204" s="3"/>
      <c r="B204" s="53" t="s">
        <v>184</v>
      </c>
      <c r="C204" s="56"/>
      <c r="D204" s="51">
        <v>1</v>
      </c>
      <c r="E204" s="69">
        <v>2.1</v>
      </c>
      <c r="F204" s="69"/>
      <c r="G204" s="69">
        <v>2.2000000000000002</v>
      </c>
      <c r="H204" s="69">
        <v>-1</v>
      </c>
      <c r="I204" s="69">
        <f t="shared" si="37"/>
        <v>-4.620000000000001</v>
      </c>
      <c r="J204" s="69">
        <f t="shared" si="38"/>
        <v>-4.620000000000001</v>
      </c>
      <c r="K204" s="2"/>
      <c r="M204" s="52"/>
    </row>
    <row r="205" spans="1:13" outlineLevel="1">
      <c r="A205" s="3"/>
      <c r="B205" s="53" t="s">
        <v>183</v>
      </c>
      <c r="C205" s="56"/>
      <c r="D205" s="51">
        <v>1</v>
      </c>
      <c r="E205" s="69">
        <v>0.77</v>
      </c>
      <c r="F205" s="69"/>
      <c r="G205" s="69">
        <v>2.2000000000000002</v>
      </c>
      <c r="H205" s="69">
        <v>-1</v>
      </c>
      <c r="I205" s="69">
        <f t="shared" si="37"/>
        <v>-1.6940000000000002</v>
      </c>
      <c r="J205" s="69">
        <f t="shared" si="38"/>
        <v>-1.6940000000000002</v>
      </c>
      <c r="K205" s="2"/>
      <c r="M205" s="52"/>
    </row>
    <row r="206" spans="1:13" outlineLevel="1">
      <c r="A206" s="3"/>
      <c r="B206" s="32" t="s">
        <v>191</v>
      </c>
      <c r="C206" s="54" t="s">
        <v>12</v>
      </c>
      <c r="D206" s="3">
        <v>2</v>
      </c>
      <c r="E206" s="66"/>
      <c r="F206" s="66"/>
      <c r="G206" s="66"/>
      <c r="H206" s="66"/>
      <c r="I206" s="67">
        <f>+SUM(I207:I217)</f>
        <v>110.19349999999997</v>
      </c>
      <c r="J206" s="67">
        <f t="shared" si="38"/>
        <v>220.38699999999994</v>
      </c>
      <c r="K206" s="2" t="s">
        <v>200</v>
      </c>
      <c r="M206" s="52"/>
    </row>
    <row r="207" spans="1:13" outlineLevel="1">
      <c r="A207" s="2"/>
      <c r="B207" s="62" t="s">
        <v>177</v>
      </c>
      <c r="C207" s="55"/>
      <c r="D207" s="2">
        <v>1</v>
      </c>
      <c r="E207" s="70">
        <f>(3355+2000+1045+1070+4850)/1000</f>
        <v>12.32</v>
      </c>
      <c r="F207" s="70"/>
      <c r="G207" s="70">
        <v>2.65</v>
      </c>
      <c r="H207" s="70">
        <v>1</v>
      </c>
      <c r="I207" s="69">
        <f t="shared" ref="I207:I217" si="39">PRODUCT(E207:H207)</f>
        <v>32.647999999999996</v>
      </c>
      <c r="J207" s="69">
        <f t="shared" si="38"/>
        <v>32.647999999999996</v>
      </c>
      <c r="K207" s="2"/>
      <c r="M207" s="52"/>
    </row>
    <row r="208" spans="1:13" outlineLevel="1">
      <c r="A208" s="3"/>
      <c r="B208" s="53" t="s">
        <v>181</v>
      </c>
      <c r="C208" s="56"/>
      <c r="D208" s="51">
        <v>1</v>
      </c>
      <c r="E208" s="69">
        <v>0.87</v>
      </c>
      <c r="F208" s="69"/>
      <c r="G208" s="69">
        <v>2.2000000000000002</v>
      </c>
      <c r="H208" s="69">
        <v>-1</v>
      </c>
      <c r="I208" s="69">
        <f t="shared" si="39"/>
        <v>-1.9140000000000001</v>
      </c>
      <c r="J208" s="69">
        <f t="shared" si="38"/>
        <v>-1.9140000000000001</v>
      </c>
      <c r="K208" s="2"/>
      <c r="M208" s="52"/>
    </row>
    <row r="209" spans="1:13" outlineLevel="1">
      <c r="A209" s="3"/>
      <c r="B209" s="53" t="s">
        <v>183</v>
      </c>
      <c r="C209" s="56"/>
      <c r="D209" s="51">
        <v>1</v>
      </c>
      <c r="E209" s="69">
        <v>0.77</v>
      </c>
      <c r="F209" s="69"/>
      <c r="G209" s="69">
        <v>2.2000000000000002</v>
      </c>
      <c r="H209" s="69">
        <v>-1</v>
      </c>
      <c r="I209" s="69">
        <f t="shared" si="39"/>
        <v>-1.6940000000000002</v>
      </c>
      <c r="J209" s="69">
        <f t="shared" si="38"/>
        <v>-1.6940000000000002</v>
      </c>
      <c r="K209" s="2"/>
      <c r="M209" s="52"/>
    </row>
    <row r="210" spans="1:13" outlineLevel="1">
      <c r="A210" s="2"/>
      <c r="B210" s="62" t="s">
        <v>179</v>
      </c>
      <c r="C210" s="55"/>
      <c r="D210" s="2">
        <v>1</v>
      </c>
      <c r="E210" s="70">
        <f>(4005+2830+4005+2830)/1000</f>
        <v>13.67</v>
      </c>
      <c r="F210" s="70"/>
      <c r="G210" s="70">
        <v>2.65</v>
      </c>
      <c r="H210" s="70">
        <v>1</v>
      </c>
      <c r="I210" s="69">
        <f t="shared" si="39"/>
        <v>36.225499999999997</v>
      </c>
      <c r="J210" s="69">
        <f t="shared" si="38"/>
        <v>36.225499999999997</v>
      </c>
      <c r="K210" s="2"/>
      <c r="M210" s="52"/>
    </row>
    <row r="211" spans="1:13" outlineLevel="1">
      <c r="A211" s="3"/>
      <c r="B211" s="53" t="s">
        <v>181</v>
      </c>
      <c r="C211" s="56"/>
      <c r="D211" s="51">
        <v>1</v>
      </c>
      <c r="E211" s="69">
        <v>0.87</v>
      </c>
      <c r="F211" s="69"/>
      <c r="G211" s="69">
        <v>2.2000000000000002</v>
      </c>
      <c r="H211" s="69">
        <v>-1</v>
      </c>
      <c r="I211" s="69">
        <f t="shared" si="39"/>
        <v>-1.9140000000000001</v>
      </c>
      <c r="J211" s="69">
        <f t="shared" si="38"/>
        <v>-1.9140000000000001</v>
      </c>
      <c r="K211" s="2"/>
      <c r="M211" s="52"/>
    </row>
    <row r="212" spans="1:13" outlineLevel="1">
      <c r="A212" s="3"/>
      <c r="B212" s="53" t="s">
        <v>184</v>
      </c>
      <c r="C212" s="56"/>
      <c r="D212" s="51">
        <v>1</v>
      </c>
      <c r="E212" s="69">
        <v>2.1</v>
      </c>
      <c r="F212" s="69"/>
      <c r="G212" s="69">
        <v>2.2000000000000002</v>
      </c>
      <c r="H212" s="69">
        <v>-1</v>
      </c>
      <c r="I212" s="69">
        <f t="shared" si="39"/>
        <v>-4.620000000000001</v>
      </c>
      <c r="J212" s="69">
        <f t="shared" si="38"/>
        <v>-4.620000000000001</v>
      </c>
      <c r="K212" s="2"/>
      <c r="M212" s="52"/>
    </row>
    <row r="213" spans="1:13" outlineLevel="1">
      <c r="A213" s="2"/>
      <c r="B213" s="62" t="s">
        <v>180</v>
      </c>
      <c r="C213" s="55"/>
      <c r="D213" s="2">
        <v>1</v>
      </c>
      <c r="E213" s="70">
        <f>(5980+1450+1170+955+1170+3950+3050+4105+2330)/1000</f>
        <v>24.16</v>
      </c>
      <c r="F213" s="70"/>
      <c r="G213" s="70">
        <v>2.65</v>
      </c>
      <c r="H213" s="70">
        <v>1</v>
      </c>
      <c r="I213" s="69">
        <f t="shared" si="39"/>
        <v>64.024000000000001</v>
      </c>
      <c r="J213" s="69">
        <f t="shared" si="38"/>
        <v>64.024000000000001</v>
      </c>
      <c r="K213" s="2"/>
      <c r="M213" s="52"/>
    </row>
    <row r="214" spans="1:13" outlineLevel="1">
      <c r="A214" s="3"/>
      <c r="B214" s="53" t="s">
        <v>185</v>
      </c>
      <c r="C214" s="56"/>
      <c r="D214" s="51">
        <v>1</v>
      </c>
      <c r="E214" s="69">
        <v>1.1000000000000001</v>
      </c>
      <c r="F214" s="69"/>
      <c r="G214" s="69">
        <v>2.2000000000000002</v>
      </c>
      <c r="H214" s="69">
        <v>-1</v>
      </c>
      <c r="I214" s="69">
        <f t="shared" si="39"/>
        <v>-2.4200000000000004</v>
      </c>
      <c r="J214" s="69">
        <f t="shared" si="38"/>
        <v>-2.4200000000000004</v>
      </c>
      <c r="K214" s="2"/>
      <c r="M214" s="52"/>
    </row>
    <row r="215" spans="1:13" outlineLevel="1">
      <c r="A215" s="3"/>
      <c r="B215" s="53" t="s">
        <v>181</v>
      </c>
      <c r="C215" s="56"/>
      <c r="D215" s="51">
        <v>1</v>
      </c>
      <c r="E215" s="69">
        <v>0.87</v>
      </c>
      <c r="F215" s="69"/>
      <c r="G215" s="69">
        <v>2.2000000000000002</v>
      </c>
      <c r="H215" s="69">
        <v>-2</v>
      </c>
      <c r="I215" s="69">
        <f t="shared" si="39"/>
        <v>-3.8280000000000003</v>
      </c>
      <c r="J215" s="69">
        <f t="shared" si="38"/>
        <v>-3.8280000000000003</v>
      </c>
      <c r="K215" s="2"/>
      <c r="M215" s="52"/>
    </row>
    <row r="216" spans="1:13" outlineLevel="1">
      <c r="A216" s="3"/>
      <c r="B216" s="53" t="s">
        <v>183</v>
      </c>
      <c r="C216" s="56"/>
      <c r="D216" s="51">
        <v>1</v>
      </c>
      <c r="E216" s="69">
        <v>0.77</v>
      </c>
      <c r="F216" s="69"/>
      <c r="G216" s="69">
        <v>2.2000000000000002</v>
      </c>
      <c r="H216" s="69">
        <v>-1</v>
      </c>
      <c r="I216" s="69">
        <f t="shared" si="39"/>
        <v>-1.6940000000000002</v>
      </c>
      <c r="J216" s="69">
        <f t="shared" si="38"/>
        <v>-1.6940000000000002</v>
      </c>
      <c r="K216" s="2"/>
      <c r="M216" s="52"/>
    </row>
    <row r="217" spans="1:13" outlineLevel="1">
      <c r="A217" s="3"/>
      <c r="B217" s="53" t="s">
        <v>184</v>
      </c>
      <c r="C217" s="56"/>
      <c r="D217" s="51">
        <v>1</v>
      </c>
      <c r="E217" s="69">
        <v>2.1</v>
      </c>
      <c r="F217" s="69"/>
      <c r="G217" s="69">
        <v>2.2000000000000002</v>
      </c>
      <c r="H217" s="69">
        <v>-1</v>
      </c>
      <c r="I217" s="69">
        <f t="shared" si="39"/>
        <v>-4.620000000000001</v>
      </c>
      <c r="J217" s="69">
        <f t="shared" si="38"/>
        <v>-4.620000000000001</v>
      </c>
      <c r="K217" s="2"/>
      <c r="M217" s="52"/>
    </row>
    <row r="218" spans="1:13" outlineLevel="1">
      <c r="A218" s="3"/>
      <c r="B218" s="32" t="s">
        <v>194</v>
      </c>
      <c r="C218" s="54"/>
      <c r="D218" s="3">
        <v>2</v>
      </c>
      <c r="E218" s="66"/>
      <c r="F218" s="66"/>
      <c r="G218" s="66"/>
      <c r="H218" s="66"/>
      <c r="I218" s="67">
        <f>+SUM(I219:I228)</f>
        <v>84.031349999999975</v>
      </c>
      <c r="J218" s="67">
        <f>+D218*I218</f>
        <v>168.06269999999995</v>
      </c>
      <c r="K218" s="2"/>
      <c r="M218" s="52"/>
    </row>
    <row r="219" spans="1:13" outlineLevel="1">
      <c r="A219" s="3"/>
      <c r="B219" s="53" t="s">
        <v>177</v>
      </c>
      <c r="C219" s="56"/>
      <c r="D219" s="51">
        <v>1</v>
      </c>
      <c r="E219" s="69">
        <f>(3897+975+897+100+550+2075)/1000</f>
        <v>8.4939999999999998</v>
      </c>
      <c r="F219" s="69"/>
      <c r="G219" s="69">
        <v>2.65</v>
      </c>
      <c r="H219" s="69">
        <v>1</v>
      </c>
      <c r="I219" s="69">
        <f t="shared" ref="I219:I228" si="40">PRODUCT(E219:H219)</f>
        <v>22.5091</v>
      </c>
      <c r="J219" s="69">
        <f t="shared" ref="J219:J252" si="41">I219*D219</f>
        <v>22.5091</v>
      </c>
      <c r="K219" s="2" t="s">
        <v>199</v>
      </c>
      <c r="M219" s="52"/>
    </row>
    <row r="220" spans="1:13" outlineLevel="1">
      <c r="A220" s="3"/>
      <c r="B220" s="53" t="s">
        <v>181</v>
      </c>
      <c r="C220" s="56"/>
      <c r="D220" s="51">
        <v>1</v>
      </c>
      <c r="E220" s="69">
        <v>0.87</v>
      </c>
      <c r="F220" s="69"/>
      <c r="G220" s="69">
        <v>2.2000000000000002</v>
      </c>
      <c r="H220" s="69">
        <v>-1</v>
      </c>
      <c r="I220" s="69">
        <f t="shared" si="40"/>
        <v>-1.9140000000000001</v>
      </c>
      <c r="J220" s="69">
        <f t="shared" si="41"/>
        <v>-1.9140000000000001</v>
      </c>
      <c r="K220" s="2"/>
      <c r="M220" s="52"/>
    </row>
    <row r="221" spans="1:13" outlineLevel="1">
      <c r="A221" s="3"/>
      <c r="B221" s="53" t="s">
        <v>179</v>
      </c>
      <c r="C221" s="56"/>
      <c r="D221" s="51">
        <v>1</v>
      </c>
      <c r="E221" s="69">
        <f>(3000+3355+975+750+2175)/1000</f>
        <v>10.255000000000001</v>
      </c>
      <c r="F221" s="69"/>
      <c r="G221" s="69">
        <v>2.65</v>
      </c>
      <c r="H221" s="69">
        <v>1</v>
      </c>
      <c r="I221" s="69">
        <f t="shared" si="40"/>
        <v>27.175750000000001</v>
      </c>
      <c r="J221" s="69">
        <f t="shared" si="41"/>
        <v>27.175750000000001</v>
      </c>
      <c r="K221" s="2"/>
      <c r="M221" s="52"/>
    </row>
    <row r="222" spans="1:13" outlineLevel="1">
      <c r="A222" s="3"/>
      <c r="B222" s="53" t="s">
        <v>181</v>
      </c>
      <c r="C222" s="56"/>
      <c r="D222" s="51">
        <v>1</v>
      </c>
      <c r="E222" s="69">
        <v>0.87</v>
      </c>
      <c r="F222" s="69"/>
      <c r="G222" s="69">
        <v>2.2000000000000002</v>
      </c>
      <c r="H222" s="69">
        <v>-1</v>
      </c>
      <c r="I222" s="69">
        <f t="shared" si="40"/>
        <v>-1.9140000000000001</v>
      </c>
      <c r="J222" s="69">
        <f t="shared" si="41"/>
        <v>-1.9140000000000001</v>
      </c>
      <c r="K222" s="2"/>
      <c r="M222" s="52"/>
    </row>
    <row r="223" spans="1:13" outlineLevel="1">
      <c r="A223" s="3"/>
      <c r="B223" s="53" t="s">
        <v>186</v>
      </c>
      <c r="C223" s="56"/>
      <c r="D223" s="51">
        <v>1</v>
      </c>
      <c r="E223" s="69">
        <v>1.2</v>
      </c>
      <c r="F223" s="69"/>
      <c r="G223" s="69">
        <v>1.5</v>
      </c>
      <c r="H223" s="69">
        <v>-1</v>
      </c>
      <c r="I223" s="69">
        <f t="shared" si="40"/>
        <v>-1.7999999999999998</v>
      </c>
      <c r="J223" s="69">
        <f t="shared" si="41"/>
        <v>-1.7999999999999998</v>
      </c>
      <c r="K223" s="2"/>
      <c r="M223" s="52"/>
    </row>
    <row r="224" spans="1:13" outlineLevel="1">
      <c r="A224" s="3"/>
      <c r="B224" s="53" t="s">
        <v>180</v>
      </c>
      <c r="C224" s="56"/>
      <c r="D224" s="51">
        <v>1</v>
      </c>
      <c r="E224" s="69">
        <f>(2505+3455+1075+1103+1075+2697+2950+4990)/1000</f>
        <v>19.850000000000001</v>
      </c>
      <c r="F224" s="69"/>
      <c r="G224" s="69">
        <v>2.65</v>
      </c>
      <c r="H224" s="69">
        <v>1</v>
      </c>
      <c r="I224" s="69">
        <f t="shared" si="40"/>
        <v>52.602499999999999</v>
      </c>
      <c r="J224" s="69">
        <f t="shared" si="41"/>
        <v>52.602499999999999</v>
      </c>
      <c r="K224" s="2"/>
      <c r="M224" s="52"/>
    </row>
    <row r="225" spans="1:13" outlineLevel="1">
      <c r="A225" s="3"/>
      <c r="B225" s="53" t="s">
        <v>185</v>
      </c>
      <c r="C225" s="56"/>
      <c r="D225" s="51">
        <v>1</v>
      </c>
      <c r="E225" s="69">
        <v>1.1000000000000001</v>
      </c>
      <c r="F225" s="69"/>
      <c r="G225" s="69">
        <v>2.2000000000000002</v>
      </c>
      <c r="H225" s="69">
        <v>-1</v>
      </c>
      <c r="I225" s="69">
        <f t="shared" si="40"/>
        <v>-2.4200000000000004</v>
      </c>
      <c r="J225" s="69">
        <f t="shared" si="41"/>
        <v>-2.4200000000000004</v>
      </c>
      <c r="K225" s="2"/>
      <c r="M225" s="52"/>
    </row>
    <row r="226" spans="1:13" outlineLevel="1">
      <c r="A226" s="3"/>
      <c r="B226" s="53" t="s">
        <v>181</v>
      </c>
      <c r="C226" s="56"/>
      <c r="D226" s="51">
        <v>1</v>
      </c>
      <c r="E226" s="69">
        <v>0.87</v>
      </c>
      <c r="F226" s="69"/>
      <c r="G226" s="69">
        <v>2.2000000000000002</v>
      </c>
      <c r="H226" s="69">
        <v>-2</v>
      </c>
      <c r="I226" s="69">
        <f t="shared" si="40"/>
        <v>-3.8280000000000003</v>
      </c>
      <c r="J226" s="69">
        <f t="shared" si="41"/>
        <v>-3.8280000000000003</v>
      </c>
      <c r="K226" s="2"/>
      <c r="M226" s="52"/>
    </row>
    <row r="227" spans="1:13" outlineLevel="1">
      <c r="A227" s="3"/>
      <c r="B227" s="53" t="s">
        <v>184</v>
      </c>
      <c r="C227" s="56"/>
      <c r="D227" s="51">
        <v>1</v>
      </c>
      <c r="E227" s="69">
        <v>2.1</v>
      </c>
      <c r="F227" s="69"/>
      <c r="G227" s="69">
        <v>2.2000000000000002</v>
      </c>
      <c r="H227" s="69">
        <v>-1</v>
      </c>
      <c r="I227" s="69">
        <f t="shared" si="40"/>
        <v>-4.620000000000001</v>
      </c>
      <c r="J227" s="69">
        <f t="shared" si="41"/>
        <v>-4.620000000000001</v>
      </c>
      <c r="K227" s="2"/>
      <c r="M227" s="52"/>
    </row>
    <row r="228" spans="1:13" outlineLevel="1">
      <c r="A228" s="3"/>
      <c r="B228" s="53" t="s">
        <v>189</v>
      </c>
      <c r="C228" s="56"/>
      <c r="D228" s="51">
        <v>1</v>
      </c>
      <c r="E228" s="69">
        <v>0.8</v>
      </c>
      <c r="F228" s="69"/>
      <c r="G228" s="69">
        <v>2.2000000000000002</v>
      </c>
      <c r="H228" s="69">
        <v>-1</v>
      </c>
      <c r="I228" s="69">
        <f t="shared" si="40"/>
        <v>-1.7600000000000002</v>
      </c>
      <c r="J228" s="69">
        <f t="shared" si="41"/>
        <v>-1.7600000000000002</v>
      </c>
      <c r="K228" s="2"/>
      <c r="M228" s="52"/>
    </row>
    <row r="229" spans="1:13" outlineLevel="1">
      <c r="A229" s="3"/>
      <c r="B229" s="32" t="s">
        <v>195</v>
      </c>
      <c r="C229" s="54"/>
      <c r="D229" s="3">
        <v>2</v>
      </c>
      <c r="E229" s="66"/>
      <c r="F229" s="66"/>
      <c r="G229" s="66"/>
      <c r="H229" s="66"/>
      <c r="I229" s="67">
        <f>+SUM(I230:I236)</f>
        <v>70.409749999999988</v>
      </c>
      <c r="J229" s="67">
        <f t="shared" si="41"/>
        <v>140.81949999999998</v>
      </c>
      <c r="K229" s="2" t="s">
        <v>203</v>
      </c>
      <c r="M229" s="52"/>
    </row>
    <row r="230" spans="1:13" outlineLevel="1">
      <c r="A230" s="2"/>
      <c r="B230" s="62" t="s">
        <v>177</v>
      </c>
      <c r="C230" s="55"/>
      <c r="D230" s="2"/>
      <c r="E230" s="70">
        <f>(3150+4250)/1000</f>
        <v>7.4</v>
      </c>
      <c r="F230" s="70"/>
      <c r="G230" s="70">
        <v>2.65</v>
      </c>
      <c r="H230" s="70">
        <v>1</v>
      </c>
      <c r="I230" s="69">
        <f t="shared" ref="I230:I236" si="42">PRODUCT(E230:H230)</f>
        <v>19.61</v>
      </c>
      <c r="J230" s="69">
        <f t="shared" si="41"/>
        <v>0</v>
      </c>
      <c r="K230" s="2"/>
      <c r="M230" s="52"/>
    </row>
    <row r="231" spans="1:13" outlineLevel="1">
      <c r="A231" s="3"/>
      <c r="B231" s="53" t="s">
        <v>181</v>
      </c>
      <c r="C231" s="56"/>
      <c r="D231" s="51">
        <v>1</v>
      </c>
      <c r="E231" s="69">
        <v>0.87</v>
      </c>
      <c r="F231" s="69"/>
      <c r="G231" s="69">
        <v>2.2000000000000002</v>
      </c>
      <c r="H231" s="69">
        <v>-1</v>
      </c>
      <c r="I231" s="69">
        <f t="shared" si="42"/>
        <v>-1.9140000000000001</v>
      </c>
      <c r="J231" s="69">
        <f t="shared" si="41"/>
        <v>-1.9140000000000001</v>
      </c>
      <c r="K231" s="2"/>
      <c r="M231" s="52"/>
    </row>
    <row r="232" spans="1:13" outlineLevel="1">
      <c r="A232" s="2"/>
      <c r="B232" s="62" t="s">
        <v>180</v>
      </c>
      <c r="C232" s="55"/>
      <c r="D232" s="2">
        <v>1</v>
      </c>
      <c r="E232" s="70">
        <f>(3215+850+265+1615+1400+550+1700+3250+3150+2950+4990)/1000</f>
        <v>23.934999999999999</v>
      </c>
      <c r="F232" s="70"/>
      <c r="G232" s="70">
        <v>2.65</v>
      </c>
      <c r="H232" s="70">
        <v>1</v>
      </c>
      <c r="I232" s="69">
        <f t="shared" si="42"/>
        <v>63.427749999999996</v>
      </c>
      <c r="J232" s="69">
        <f t="shared" si="41"/>
        <v>63.427749999999996</v>
      </c>
      <c r="K232" s="2"/>
      <c r="M232" s="52"/>
    </row>
    <row r="233" spans="1:13" outlineLevel="1">
      <c r="A233" s="3"/>
      <c r="B233" s="53" t="s">
        <v>185</v>
      </c>
      <c r="C233" s="56"/>
      <c r="D233" s="51">
        <v>1</v>
      </c>
      <c r="E233" s="69">
        <v>1.1000000000000001</v>
      </c>
      <c r="F233" s="69"/>
      <c r="G233" s="69">
        <v>2.2000000000000002</v>
      </c>
      <c r="H233" s="69">
        <v>-1</v>
      </c>
      <c r="I233" s="69">
        <f t="shared" si="42"/>
        <v>-2.4200000000000004</v>
      </c>
      <c r="J233" s="69">
        <f t="shared" si="41"/>
        <v>-2.4200000000000004</v>
      </c>
      <c r="K233" s="2"/>
      <c r="M233" s="52"/>
    </row>
    <row r="234" spans="1:13" outlineLevel="1">
      <c r="A234" s="3"/>
      <c r="B234" s="53" t="s">
        <v>181</v>
      </c>
      <c r="C234" s="56"/>
      <c r="D234" s="51">
        <v>1</v>
      </c>
      <c r="E234" s="69">
        <v>0.87</v>
      </c>
      <c r="F234" s="69"/>
      <c r="G234" s="69">
        <v>2.2000000000000002</v>
      </c>
      <c r="H234" s="69">
        <v>-1</v>
      </c>
      <c r="I234" s="69">
        <f t="shared" si="42"/>
        <v>-1.9140000000000001</v>
      </c>
      <c r="J234" s="69">
        <f t="shared" si="41"/>
        <v>-1.9140000000000001</v>
      </c>
      <c r="K234" s="2"/>
      <c r="M234" s="52"/>
    </row>
    <row r="235" spans="1:13" outlineLevel="1">
      <c r="A235" s="3"/>
      <c r="B235" s="53" t="s">
        <v>189</v>
      </c>
      <c r="C235" s="56"/>
      <c r="D235" s="51">
        <v>1</v>
      </c>
      <c r="E235" s="69">
        <v>0.8</v>
      </c>
      <c r="F235" s="69"/>
      <c r="G235" s="69">
        <v>2.2000000000000002</v>
      </c>
      <c r="H235" s="69">
        <v>-1</v>
      </c>
      <c r="I235" s="69">
        <f t="shared" si="42"/>
        <v>-1.7600000000000002</v>
      </c>
      <c r="J235" s="69">
        <f t="shared" si="41"/>
        <v>-1.7600000000000002</v>
      </c>
      <c r="K235" s="2"/>
      <c r="M235" s="52"/>
    </row>
    <row r="236" spans="1:13" outlineLevel="1">
      <c r="A236" s="3"/>
      <c r="B236" s="53" t="s">
        <v>184</v>
      </c>
      <c r="C236" s="56"/>
      <c r="D236" s="51">
        <v>1</v>
      </c>
      <c r="E236" s="69">
        <v>2.1</v>
      </c>
      <c r="F236" s="69"/>
      <c r="G236" s="69">
        <v>2.2000000000000002</v>
      </c>
      <c r="H236" s="69">
        <v>-1</v>
      </c>
      <c r="I236" s="69">
        <f t="shared" si="42"/>
        <v>-4.620000000000001</v>
      </c>
      <c r="J236" s="69">
        <f t="shared" si="41"/>
        <v>-4.620000000000001</v>
      </c>
      <c r="K236" s="2"/>
      <c r="M236" s="52"/>
    </row>
    <row r="237" spans="1:13" outlineLevel="1">
      <c r="A237" s="3"/>
      <c r="B237" s="32" t="s">
        <v>196</v>
      </c>
      <c r="C237" s="54"/>
      <c r="D237" s="3">
        <v>2</v>
      </c>
      <c r="E237" s="66"/>
      <c r="F237" s="66"/>
      <c r="G237" s="66"/>
      <c r="H237" s="66"/>
      <c r="I237" s="67">
        <f>+SUM(I238:I248)</f>
        <v>125.00474999999999</v>
      </c>
      <c r="J237" s="67">
        <f t="shared" si="41"/>
        <v>250.00949999999997</v>
      </c>
      <c r="K237" s="2" t="s">
        <v>204</v>
      </c>
      <c r="M237" s="52"/>
    </row>
    <row r="238" spans="1:13" outlineLevel="1">
      <c r="A238" s="2"/>
      <c r="B238" s="62" t="s">
        <v>177</v>
      </c>
      <c r="C238" s="55"/>
      <c r="D238" s="2">
        <v>1</v>
      </c>
      <c r="E238" s="70">
        <f>(4300+900+1000+1900+3050)/1000</f>
        <v>11.15</v>
      </c>
      <c r="F238" s="70"/>
      <c r="G238" s="70">
        <v>2.65</v>
      </c>
      <c r="H238" s="70">
        <v>1</v>
      </c>
      <c r="I238" s="69">
        <f t="shared" ref="I238:I248" si="43">PRODUCT(E238:H238)</f>
        <v>29.547499999999999</v>
      </c>
      <c r="J238" s="69">
        <f t="shared" si="41"/>
        <v>29.547499999999999</v>
      </c>
      <c r="K238" s="2"/>
      <c r="M238" s="52"/>
    </row>
    <row r="239" spans="1:13" outlineLevel="1">
      <c r="A239" s="2"/>
      <c r="B239" s="53" t="s">
        <v>181</v>
      </c>
      <c r="C239" s="56"/>
      <c r="D239" s="51">
        <v>1</v>
      </c>
      <c r="E239" s="69">
        <v>0.87</v>
      </c>
      <c r="F239" s="69"/>
      <c r="G239" s="69">
        <v>2.2000000000000002</v>
      </c>
      <c r="H239" s="69">
        <v>-1</v>
      </c>
      <c r="I239" s="69">
        <f t="shared" si="43"/>
        <v>-1.9140000000000001</v>
      </c>
      <c r="J239" s="69">
        <f t="shared" si="41"/>
        <v>-1.9140000000000001</v>
      </c>
      <c r="K239" s="2"/>
      <c r="M239" s="52"/>
    </row>
    <row r="240" spans="1:13" outlineLevel="1">
      <c r="A240" s="2"/>
      <c r="B240" s="53" t="s">
        <v>183</v>
      </c>
      <c r="C240" s="56"/>
      <c r="D240" s="51">
        <v>1</v>
      </c>
      <c r="E240" s="69">
        <v>0.77</v>
      </c>
      <c r="F240" s="69"/>
      <c r="G240" s="69">
        <v>2.2000000000000002</v>
      </c>
      <c r="H240" s="69">
        <v>-1</v>
      </c>
      <c r="I240" s="69">
        <f t="shared" si="43"/>
        <v>-1.6940000000000002</v>
      </c>
      <c r="J240" s="69">
        <f t="shared" si="41"/>
        <v>-1.6940000000000002</v>
      </c>
      <c r="K240" s="2"/>
      <c r="M240" s="52"/>
    </row>
    <row r="241" spans="1:14" outlineLevel="1">
      <c r="A241" s="2"/>
      <c r="B241" s="62" t="s">
        <v>179</v>
      </c>
      <c r="C241" s="55"/>
      <c r="D241" s="2">
        <v>1</v>
      </c>
      <c r="E241" s="70">
        <f>(2950+3050+2960)/1000</f>
        <v>8.9600000000000009</v>
      </c>
      <c r="F241" s="70"/>
      <c r="G241" s="70">
        <v>2.65</v>
      </c>
      <c r="H241" s="70">
        <v>1</v>
      </c>
      <c r="I241" s="69">
        <f t="shared" si="43"/>
        <v>23.744</v>
      </c>
      <c r="J241" s="69">
        <f t="shared" si="41"/>
        <v>23.744</v>
      </c>
      <c r="K241" s="2"/>
      <c r="M241" s="52"/>
    </row>
    <row r="242" spans="1:14" outlineLevel="1">
      <c r="A242" s="2"/>
      <c r="B242" s="53" t="s">
        <v>181</v>
      </c>
      <c r="C242" s="56"/>
      <c r="D242" s="51">
        <v>1</v>
      </c>
      <c r="E242" s="69">
        <v>0.87</v>
      </c>
      <c r="F242" s="69"/>
      <c r="G242" s="69">
        <v>2.2000000000000002</v>
      </c>
      <c r="H242" s="69">
        <v>-1</v>
      </c>
      <c r="I242" s="69">
        <f t="shared" si="43"/>
        <v>-1.9140000000000001</v>
      </c>
      <c r="J242" s="69">
        <f t="shared" si="41"/>
        <v>-1.9140000000000001</v>
      </c>
      <c r="K242" s="2"/>
      <c r="M242" s="52"/>
    </row>
    <row r="243" spans="1:14" outlineLevel="1">
      <c r="A243" s="2"/>
      <c r="B243" s="62" t="s">
        <v>180</v>
      </c>
      <c r="C243" s="55"/>
      <c r="D243" s="2">
        <v>1</v>
      </c>
      <c r="E243" s="70">
        <f>(6915+4300+1150+100+1050+3050+1950+3150+2050+3000+3400+1000+900+1055+1455)/1000</f>
        <v>34.524999999999999</v>
      </c>
      <c r="F243" s="70"/>
      <c r="G243" s="70">
        <v>2.65</v>
      </c>
      <c r="H243" s="70">
        <v>1</v>
      </c>
      <c r="I243" s="69">
        <f t="shared" si="43"/>
        <v>91.491249999999994</v>
      </c>
      <c r="J243" s="69">
        <f t="shared" si="41"/>
        <v>91.491249999999994</v>
      </c>
      <c r="K243" s="2"/>
      <c r="M243" s="52"/>
    </row>
    <row r="244" spans="1:14" outlineLevel="1">
      <c r="A244" s="3"/>
      <c r="B244" s="53" t="s">
        <v>185</v>
      </c>
      <c r="C244" s="56"/>
      <c r="D244" s="51">
        <v>1</v>
      </c>
      <c r="E244" s="69">
        <v>1.1000000000000001</v>
      </c>
      <c r="F244" s="69"/>
      <c r="G244" s="69">
        <v>2.2000000000000002</v>
      </c>
      <c r="H244" s="69">
        <v>-1</v>
      </c>
      <c r="I244" s="69">
        <f t="shared" si="43"/>
        <v>-2.4200000000000004</v>
      </c>
      <c r="J244" s="69">
        <f t="shared" si="41"/>
        <v>-2.4200000000000004</v>
      </c>
      <c r="K244" s="2"/>
      <c r="M244" s="52"/>
    </row>
    <row r="245" spans="1:14" outlineLevel="1">
      <c r="A245" s="3"/>
      <c r="B245" s="53" t="s">
        <v>188</v>
      </c>
      <c r="C245" s="56"/>
      <c r="D245" s="51">
        <v>1</v>
      </c>
      <c r="E245" s="69">
        <v>0.77</v>
      </c>
      <c r="F245" s="69"/>
      <c r="G245" s="69">
        <v>2.2000000000000002</v>
      </c>
      <c r="H245" s="69">
        <v>-1</v>
      </c>
      <c r="I245" s="69">
        <f t="shared" si="43"/>
        <v>-1.6940000000000002</v>
      </c>
      <c r="J245" s="69">
        <f t="shared" si="41"/>
        <v>-1.6940000000000002</v>
      </c>
      <c r="K245" s="2"/>
      <c r="M245" s="52"/>
    </row>
    <row r="246" spans="1:14" outlineLevel="1">
      <c r="A246" s="2"/>
      <c r="B246" s="53" t="s">
        <v>181</v>
      </c>
      <c r="C246" s="56"/>
      <c r="D246" s="51">
        <v>1</v>
      </c>
      <c r="E246" s="69">
        <v>0.87</v>
      </c>
      <c r="F246" s="69"/>
      <c r="G246" s="69">
        <v>2.2000000000000002</v>
      </c>
      <c r="H246" s="69">
        <v>-2</v>
      </c>
      <c r="I246" s="69">
        <f t="shared" si="43"/>
        <v>-3.8280000000000003</v>
      </c>
      <c r="J246" s="69">
        <f t="shared" si="41"/>
        <v>-3.8280000000000003</v>
      </c>
      <c r="K246" s="2"/>
      <c r="M246" s="52"/>
    </row>
    <row r="247" spans="1:14" outlineLevel="1">
      <c r="A247" s="3"/>
      <c r="B247" s="53" t="s">
        <v>184</v>
      </c>
      <c r="C247" s="56"/>
      <c r="D247" s="51">
        <v>1</v>
      </c>
      <c r="E247" s="69">
        <v>2.1</v>
      </c>
      <c r="F247" s="69"/>
      <c r="G247" s="69">
        <v>2.2000000000000002</v>
      </c>
      <c r="H247" s="69">
        <v>-1</v>
      </c>
      <c r="I247" s="69">
        <f t="shared" si="43"/>
        <v>-4.620000000000001</v>
      </c>
      <c r="J247" s="69">
        <f t="shared" si="41"/>
        <v>-4.620000000000001</v>
      </c>
      <c r="K247" s="2"/>
      <c r="M247" s="52"/>
    </row>
    <row r="248" spans="1:14" outlineLevel="1">
      <c r="A248" s="2"/>
      <c r="B248" s="53" t="s">
        <v>183</v>
      </c>
      <c r="C248" s="56"/>
      <c r="D248" s="51">
        <v>1</v>
      </c>
      <c r="E248" s="69">
        <v>0.77</v>
      </c>
      <c r="F248" s="69"/>
      <c r="G248" s="69">
        <v>2.2000000000000002</v>
      </c>
      <c r="H248" s="69">
        <v>-1</v>
      </c>
      <c r="I248" s="69">
        <f t="shared" si="43"/>
        <v>-1.6940000000000002</v>
      </c>
      <c r="J248" s="69">
        <f t="shared" si="41"/>
        <v>-1.6940000000000002</v>
      </c>
      <c r="K248" s="2"/>
      <c r="M248" s="52"/>
    </row>
    <row r="249" spans="1:14" s="4" customFormat="1" ht="14.25" outlineLevel="1">
      <c r="A249" s="3"/>
      <c r="B249" s="32" t="s">
        <v>101</v>
      </c>
      <c r="C249" s="54"/>
      <c r="D249" s="3">
        <v>2</v>
      </c>
      <c r="E249" s="66"/>
      <c r="F249" s="66"/>
      <c r="G249" s="66"/>
      <c r="H249" s="66"/>
      <c r="I249" s="67">
        <f>+SUM(I250:I252)</f>
        <v>286.39499999999998</v>
      </c>
      <c r="J249" s="67">
        <f t="shared" si="41"/>
        <v>572.79</v>
      </c>
      <c r="K249" s="3"/>
      <c r="M249" s="63"/>
    </row>
    <row r="250" spans="1:14" outlineLevel="1">
      <c r="A250" s="2"/>
      <c r="B250" s="53" t="s">
        <v>206</v>
      </c>
      <c r="C250" s="56"/>
      <c r="D250" s="51">
        <v>1</v>
      </c>
      <c r="E250" s="69">
        <f>(5600+7100+9050+7100+7100+7100+10100+7100+5600+5600+7200+6050+7100+7100+6050+7100+5600)/1000</f>
        <v>117.65</v>
      </c>
      <c r="F250" s="69"/>
      <c r="G250" s="69">
        <v>2.5</v>
      </c>
      <c r="H250" s="69">
        <v>1</v>
      </c>
      <c r="I250" s="69">
        <f t="shared" ref="I250:I252" si="44">PRODUCT(E250:H250)</f>
        <v>294.125</v>
      </c>
      <c r="J250" s="69">
        <f t="shared" si="41"/>
        <v>294.125</v>
      </c>
      <c r="K250" s="2"/>
      <c r="M250" s="52"/>
    </row>
    <row r="251" spans="1:14" outlineLevel="1">
      <c r="A251" s="2"/>
      <c r="B251" s="53"/>
      <c r="C251" s="56"/>
      <c r="D251" s="51">
        <v>1</v>
      </c>
      <c r="E251" s="69">
        <f>7.65*2</f>
        <v>15.3</v>
      </c>
      <c r="F251" s="69"/>
      <c r="G251" s="69">
        <v>2.5</v>
      </c>
      <c r="H251" s="69">
        <v>1</v>
      </c>
      <c r="I251" s="69">
        <f t="shared" si="44"/>
        <v>38.25</v>
      </c>
      <c r="J251" s="69">
        <f t="shared" si="41"/>
        <v>38.25</v>
      </c>
      <c r="K251" s="2"/>
      <c r="M251" s="52"/>
    </row>
    <row r="252" spans="1:14" outlineLevel="1">
      <c r="A252" s="3"/>
      <c r="B252" s="53" t="s">
        <v>185</v>
      </c>
      <c r="C252" s="56"/>
      <c r="D252" s="51">
        <v>1</v>
      </c>
      <c r="E252" s="69">
        <v>1.1000000000000001</v>
      </c>
      <c r="F252" s="69"/>
      <c r="G252" s="69">
        <v>2.2000000000000002</v>
      </c>
      <c r="H252" s="69">
        <v>-19</v>
      </c>
      <c r="I252" s="69">
        <f t="shared" si="44"/>
        <v>-45.980000000000004</v>
      </c>
      <c r="J252" s="69">
        <f t="shared" si="41"/>
        <v>-45.980000000000004</v>
      </c>
      <c r="K252" s="2"/>
      <c r="M252" s="52"/>
    </row>
    <row r="253" spans="1:14">
      <c r="A253" s="58">
        <v>4</v>
      </c>
      <c r="B253" s="59" t="s">
        <v>175</v>
      </c>
      <c r="C253" s="60"/>
      <c r="D253" s="58">
        <v>3</v>
      </c>
      <c r="E253" s="68"/>
      <c r="F253" s="68"/>
      <c r="G253" s="68"/>
      <c r="H253" s="68"/>
      <c r="I253" s="68">
        <f>+J254+J266+J279+J291+J302+J310+J322</f>
        <v>4186.4271999999992</v>
      </c>
      <c r="J253" s="68">
        <f>+D253*I253</f>
        <v>12559.281599999998</v>
      </c>
      <c r="K253" s="61"/>
      <c r="M253" s="52"/>
    </row>
    <row r="254" spans="1:14" ht="29.25" outlineLevel="1">
      <c r="A254" s="3"/>
      <c r="B254" s="32" t="s">
        <v>190</v>
      </c>
      <c r="C254" s="54"/>
      <c r="D254" s="3">
        <v>8</v>
      </c>
      <c r="E254" s="66"/>
      <c r="F254" s="66"/>
      <c r="G254" s="66"/>
      <c r="H254" s="66"/>
      <c r="I254" s="67">
        <f>+SUM(I255:I265)</f>
        <v>112.07274999999997</v>
      </c>
      <c r="J254" s="67">
        <f>+D254*I254</f>
        <v>896.58199999999977</v>
      </c>
      <c r="K254" s="2"/>
      <c r="M254" s="52"/>
      <c r="N254" s="52"/>
    </row>
    <row r="255" spans="1:14" outlineLevel="1">
      <c r="A255" s="3"/>
      <c r="B255" s="53" t="s">
        <v>177</v>
      </c>
      <c r="C255" s="56"/>
      <c r="D255" s="51">
        <v>1</v>
      </c>
      <c r="E255" s="69">
        <f>2.9+3</f>
        <v>5.9</v>
      </c>
      <c r="F255" s="69"/>
      <c r="G255" s="69">
        <v>2.65</v>
      </c>
      <c r="H255" s="69">
        <v>1</v>
      </c>
      <c r="I255" s="69">
        <f t="shared" ref="I255:I265" si="45">PRODUCT(E255:H255)</f>
        <v>15.635</v>
      </c>
      <c r="J255" s="69">
        <f t="shared" ref="J255:J265" si="46">I255*D255</f>
        <v>15.635</v>
      </c>
      <c r="K255" s="2" t="s">
        <v>197</v>
      </c>
      <c r="M255" s="52"/>
    </row>
    <row r="256" spans="1:14" outlineLevel="1">
      <c r="A256" s="3"/>
      <c r="B256" s="53" t="s">
        <v>13</v>
      </c>
      <c r="C256" s="56"/>
      <c r="D256" s="51">
        <v>1</v>
      </c>
      <c r="E256" s="69">
        <v>0.87</v>
      </c>
      <c r="F256" s="69"/>
      <c r="G256" s="69">
        <v>2.2000000000000002</v>
      </c>
      <c r="H256" s="69">
        <v>-1</v>
      </c>
      <c r="I256" s="69">
        <f t="shared" si="45"/>
        <v>-1.9140000000000001</v>
      </c>
      <c r="J256" s="69">
        <f t="shared" si="46"/>
        <v>-1.9140000000000001</v>
      </c>
      <c r="K256" s="2"/>
      <c r="M256" s="52"/>
    </row>
    <row r="257" spans="1:13" outlineLevel="1">
      <c r="A257" s="3"/>
      <c r="B257" s="53" t="s">
        <v>179</v>
      </c>
      <c r="C257" s="56"/>
      <c r="D257" s="51">
        <v>1</v>
      </c>
      <c r="E257" s="69">
        <f>(6050+1050+1200+1900+3200)/1000</f>
        <v>13.4</v>
      </c>
      <c r="F257" s="69"/>
      <c r="G257" s="69">
        <v>2.65</v>
      </c>
      <c r="H257" s="69">
        <v>1</v>
      </c>
      <c r="I257" s="69">
        <f t="shared" si="45"/>
        <v>35.51</v>
      </c>
      <c r="J257" s="69">
        <f t="shared" si="46"/>
        <v>35.51</v>
      </c>
      <c r="K257" s="2"/>
      <c r="M257" s="52"/>
    </row>
    <row r="258" spans="1:13" outlineLevel="1">
      <c r="A258" s="3"/>
      <c r="B258" s="53" t="s">
        <v>181</v>
      </c>
      <c r="C258" s="56"/>
      <c r="D258" s="51">
        <v>1</v>
      </c>
      <c r="E258" s="69">
        <v>0.87</v>
      </c>
      <c r="F258" s="69"/>
      <c r="G258" s="69">
        <v>2.2000000000000002</v>
      </c>
      <c r="H258" s="69">
        <v>-1</v>
      </c>
      <c r="I258" s="69">
        <f t="shared" si="45"/>
        <v>-1.9140000000000001</v>
      </c>
      <c r="J258" s="69">
        <f t="shared" si="46"/>
        <v>-1.9140000000000001</v>
      </c>
      <c r="K258" s="2"/>
      <c r="M258" s="52"/>
    </row>
    <row r="259" spans="1:13" outlineLevel="1">
      <c r="A259" s="3"/>
      <c r="B259" s="53" t="s">
        <v>183</v>
      </c>
      <c r="C259" s="56"/>
      <c r="D259" s="51">
        <v>1</v>
      </c>
      <c r="E259" s="69">
        <v>0.77</v>
      </c>
      <c r="F259" s="69"/>
      <c r="G259" s="69">
        <v>2.2000000000000002</v>
      </c>
      <c r="H259" s="69">
        <v>-1</v>
      </c>
      <c r="I259" s="69">
        <f t="shared" si="45"/>
        <v>-1.6940000000000002</v>
      </c>
      <c r="J259" s="69">
        <f t="shared" si="46"/>
        <v>-1.6940000000000002</v>
      </c>
      <c r="K259" s="2"/>
      <c r="M259" s="52"/>
    </row>
    <row r="260" spans="1:13" outlineLevel="1">
      <c r="A260" s="3"/>
      <c r="B260" s="53" t="s">
        <v>180</v>
      </c>
      <c r="C260" s="56"/>
      <c r="D260" s="51">
        <v>1</v>
      </c>
      <c r="E260" s="69">
        <f>(2900+600+100+3000+3100+2950+5150+1150+905+1150+1500+2650+1300+100+600+1750+1550)/1000</f>
        <v>30.454999999999998</v>
      </c>
      <c r="F260" s="69"/>
      <c r="G260" s="69">
        <v>2.65</v>
      </c>
      <c r="H260" s="69">
        <v>1</v>
      </c>
      <c r="I260" s="69">
        <f t="shared" si="45"/>
        <v>80.705749999999995</v>
      </c>
      <c r="J260" s="69">
        <f t="shared" si="46"/>
        <v>80.705749999999995</v>
      </c>
      <c r="K260" s="2"/>
      <c r="M260" s="52"/>
    </row>
    <row r="261" spans="1:13" outlineLevel="1">
      <c r="A261" s="3"/>
      <c r="B261" s="53" t="s">
        <v>181</v>
      </c>
      <c r="C261" s="56"/>
      <c r="D261" s="51">
        <v>1</v>
      </c>
      <c r="E261" s="69">
        <v>0.87</v>
      </c>
      <c r="F261" s="69"/>
      <c r="G261" s="69">
        <v>2.2000000000000002</v>
      </c>
      <c r="H261" s="69">
        <v>-2</v>
      </c>
      <c r="I261" s="69">
        <f t="shared" si="45"/>
        <v>-3.8280000000000003</v>
      </c>
      <c r="J261" s="69">
        <f t="shared" si="46"/>
        <v>-3.8280000000000003</v>
      </c>
      <c r="K261" s="2"/>
      <c r="M261" s="52"/>
    </row>
    <row r="262" spans="1:13" outlineLevel="1">
      <c r="A262" s="3"/>
      <c r="B262" s="53" t="s">
        <v>182</v>
      </c>
      <c r="C262" s="56"/>
      <c r="D262" s="51">
        <v>1</v>
      </c>
      <c r="E262" s="69">
        <v>0.77</v>
      </c>
      <c r="F262" s="69"/>
      <c r="G262" s="69">
        <v>2.2000000000000002</v>
      </c>
      <c r="H262" s="69">
        <v>-1</v>
      </c>
      <c r="I262" s="69">
        <f t="shared" si="45"/>
        <v>-1.6940000000000002</v>
      </c>
      <c r="J262" s="69">
        <f t="shared" si="46"/>
        <v>-1.6940000000000002</v>
      </c>
      <c r="K262" s="2"/>
      <c r="M262" s="52"/>
    </row>
    <row r="263" spans="1:13" outlineLevel="1">
      <c r="A263" s="3"/>
      <c r="B263" s="53" t="s">
        <v>183</v>
      </c>
      <c r="C263" s="56"/>
      <c r="D263" s="51">
        <v>1</v>
      </c>
      <c r="E263" s="69">
        <v>0.77</v>
      </c>
      <c r="F263" s="69"/>
      <c r="G263" s="69">
        <v>2.2000000000000002</v>
      </c>
      <c r="H263" s="69">
        <v>-1</v>
      </c>
      <c r="I263" s="69">
        <f t="shared" si="45"/>
        <v>-1.6940000000000002</v>
      </c>
      <c r="J263" s="69">
        <f t="shared" si="46"/>
        <v>-1.6940000000000002</v>
      </c>
      <c r="K263" s="2"/>
      <c r="M263" s="52"/>
    </row>
    <row r="264" spans="1:13" outlineLevel="1">
      <c r="A264" s="3"/>
      <c r="B264" s="53" t="s">
        <v>185</v>
      </c>
      <c r="C264" s="56"/>
      <c r="D264" s="51">
        <v>1</v>
      </c>
      <c r="E264" s="69">
        <v>1.1000000000000001</v>
      </c>
      <c r="F264" s="69"/>
      <c r="G264" s="69">
        <v>2.2000000000000002</v>
      </c>
      <c r="H264" s="69">
        <v>-1</v>
      </c>
      <c r="I264" s="69">
        <f t="shared" si="45"/>
        <v>-2.4200000000000004</v>
      </c>
      <c r="J264" s="69">
        <f t="shared" si="46"/>
        <v>-2.4200000000000004</v>
      </c>
      <c r="K264" s="2"/>
      <c r="M264" s="52"/>
    </row>
    <row r="265" spans="1:13" outlineLevel="1">
      <c r="A265" s="3"/>
      <c r="B265" s="53" t="s">
        <v>184</v>
      </c>
      <c r="C265" s="56"/>
      <c r="D265" s="51">
        <v>1</v>
      </c>
      <c r="E265" s="69">
        <v>2.1</v>
      </c>
      <c r="F265" s="69"/>
      <c r="G265" s="69">
        <v>2.2000000000000002</v>
      </c>
      <c r="H265" s="69">
        <v>-1</v>
      </c>
      <c r="I265" s="69">
        <f t="shared" si="45"/>
        <v>-4.620000000000001</v>
      </c>
      <c r="J265" s="69">
        <f t="shared" si="46"/>
        <v>-4.620000000000001</v>
      </c>
      <c r="K265" s="2"/>
      <c r="M265" s="52"/>
    </row>
    <row r="266" spans="1:13" ht="43.5" outlineLevel="1">
      <c r="A266" s="3"/>
      <c r="B266" s="32" t="s">
        <v>192</v>
      </c>
      <c r="C266" s="54" t="s">
        <v>12</v>
      </c>
      <c r="D266" s="3">
        <v>18</v>
      </c>
      <c r="E266" s="66"/>
      <c r="F266" s="66"/>
      <c r="G266" s="66"/>
      <c r="H266" s="66"/>
      <c r="I266" s="67">
        <f>+SUM(I267:I278)</f>
        <v>107.65424999999998</v>
      </c>
      <c r="J266" s="67">
        <f>+D266*I266</f>
        <v>1937.7764999999995</v>
      </c>
      <c r="K266" s="2"/>
      <c r="M266" s="52"/>
    </row>
    <row r="267" spans="1:13" outlineLevel="1">
      <c r="A267" s="3"/>
      <c r="B267" s="53" t="s">
        <v>177</v>
      </c>
      <c r="C267" s="56"/>
      <c r="D267" s="51">
        <v>1</v>
      </c>
      <c r="E267" s="69">
        <f>(3050+3000+3050)/1000</f>
        <v>9.1</v>
      </c>
      <c r="F267" s="69"/>
      <c r="G267" s="69">
        <v>2.65</v>
      </c>
      <c r="H267" s="69">
        <v>1</v>
      </c>
      <c r="I267" s="69">
        <f t="shared" ref="I267:I278" si="47">PRODUCT(E267:H267)</f>
        <v>24.114999999999998</v>
      </c>
      <c r="J267" s="69">
        <f t="shared" ref="J267:J290" si="48">I267*D267</f>
        <v>24.114999999999998</v>
      </c>
      <c r="K267" s="2" t="s">
        <v>198</v>
      </c>
      <c r="M267" s="52"/>
    </row>
    <row r="268" spans="1:13" outlineLevel="1">
      <c r="A268" s="3"/>
      <c r="B268" s="53" t="s">
        <v>181</v>
      </c>
      <c r="C268" s="56"/>
      <c r="D268" s="51">
        <v>1</v>
      </c>
      <c r="E268" s="69">
        <v>0.87</v>
      </c>
      <c r="F268" s="69"/>
      <c r="G268" s="69">
        <v>2.2000000000000002</v>
      </c>
      <c r="H268" s="69">
        <v>-1</v>
      </c>
      <c r="I268" s="69">
        <f t="shared" si="47"/>
        <v>-1.9140000000000001</v>
      </c>
      <c r="J268" s="69">
        <f t="shared" si="48"/>
        <v>-1.9140000000000001</v>
      </c>
      <c r="K268" s="2"/>
      <c r="M268" s="52"/>
    </row>
    <row r="269" spans="1:13" outlineLevel="1">
      <c r="A269" s="3"/>
      <c r="B269" s="53" t="s">
        <v>179</v>
      </c>
      <c r="C269" s="56"/>
      <c r="D269" s="51">
        <v>1</v>
      </c>
      <c r="E269" s="69">
        <f>(2770+2550+1450+1205+4320+1840)/1000</f>
        <v>14.135</v>
      </c>
      <c r="F269" s="69"/>
      <c r="G269" s="69">
        <v>2.65</v>
      </c>
      <c r="H269" s="69">
        <v>1</v>
      </c>
      <c r="I269" s="69">
        <f t="shared" si="47"/>
        <v>37.457749999999997</v>
      </c>
      <c r="J269" s="69">
        <f t="shared" si="48"/>
        <v>37.457749999999997</v>
      </c>
      <c r="K269" s="2"/>
      <c r="M269" s="52"/>
    </row>
    <row r="270" spans="1:13" outlineLevel="1">
      <c r="A270" s="3"/>
      <c r="B270" s="53" t="s">
        <v>181</v>
      </c>
      <c r="C270" s="56"/>
      <c r="D270" s="51">
        <v>1</v>
      </c>
      <c r="E270" s="69">
        <v>0.87</v>
      </c>
      <c r="F270" s="69"/>
      <c r="G270" s="69">
        <v>2.2000000000000002</v>
      </c>
      <c r="H270" s="69">
        <v>-1</v>
      </c>
      <c r="I270" s="69">
        <f t="shared" si="47"/>
        <v>-1.9140000000000001</v>
      </c>
      <c r="J270" s="69">
        <f t="shared" si="48"/>
        <v>-1.9140000000000001</v>
      </c>
      <c r="K270" s="2"/>
      <c r="M270" s="52"/>
    </row>
    <row r="271" spans="1:13" outlineLevel="1">
      <c r="A271" s="3"/>
      <c r="B271" s="53" t="s">
        <v>183</v>
      </c>
      <c r="C271" s="56"/>
      <c r="D271" s="51">
        <v>1</v>
      </c>
      <c r="E271" s="69">
        <v>0.77</v>
      </c>
      <c r="F271" s="69"/>
      <c r="G271" s="69">
        <v>2.2000000000000002</v>
      </c>
      <c r="H271" s="69">
        <v>-1</v>
      </c>
      <c r="I271" s="69">
        <f t="shared" si="47"/>
        <v>-1.6940000000000002</v>
      </c>
      <c r="J271" s="69">
        <f t="shared" si="48"/>
        <v>-1.6940000000000002</v>
      </c>
      <c r="K271" s="2"/>
      <c r="M271" s="52"/>
    </row>
    <row r="272" spans="1:13" outlineLevel="1">
      <c r="A272" s="3"/>
      <c r="B272" s="53" t="s">
        <v>187</v>
      </c>
      <c r="C272" s="56"/>
      <c r="D272" s="51">
        <v>1</v>
      </c>
      <c r="E272" s="69">
        <v>0.9</v>
      </c>
      <c r="F272" s="69"/>
      <c r="G272" s="69">
        <f>0.85*2</f>
        <v>1.7</v>
      </c>
      <c r="H272" s="69">
        <v>-1</v>
      </c>
      <c r="I272" s="69">
        <f t="shared" si="47"/>
        <v>-1.53</v>
      </c>
      <c r="J272" s="69">
        <f t="shared" si="48"/>
        <v>-1.53</v>
      </c>
      <c r="K272" s="2"/>
      <c r="M272" s="52"/>
    </row>
    <row r="273" spans="1:13" outlineLevel="1">
      <c r="A273" s="3"/>
      <c r="B273" s="53" t="s">
        <v>180</v>
      </c>
      <c r="C273" s="56"/>
      <c r="D273" s="51">
        <v>1</v>
      </c>
      <c r="E273" s="69">
        <f>(1330+3855+2840+950+3100+2150+2850+4255+1450+2650)/1000</f>
        <v>25.43</v>
      </c>
      <c r="F273" s="69"/>
      <c r="G273" s="69">
        <v>2.65</v>
      </c>
      <c r="H273" s="69">
        <v>1</v>
      </c>
      <c r="I273" s="69">
        <f t="shared" si="47"/>
        <v>67.389499999999998</v>
      </c>
      <c r="J273" s="69">
        <f t="shared" si="48"/>
        <v>67.389499999999998</v>
      </c>
      <c r="K273" s="2"/>
      <c r="M273" s="52"/>
    </row>
    <row r="274" spans="1:13" outlineLevel="1">
      <c r="A274" s="3"/>
      <c r="B274" s="53" t="s">
        <v>185</v>
      </c>
      <c r="C274" s="56"/>
      <c r="D274" s="51">
        <v>1</v>
      </c>
      <c r="E274" s="69">
        <v>1.1000000000000001</v>
      </c>
      <c r="F274" s="69"/>
      <c r="G274" s="69">
        <v>2.2000000000000002</v>
      </c>
      <c r="H274" s="69">
        <v>-1</v>
      </c>
      <c r="I274" s="69">
        <f t="shared" si="47"/>
        <v>-2.4200000000000004</v>
      </c>
      <c r="J274" s="69">
        <f t="shared" si="48"/>
        <v>-2.4200000000000004</v>
      </c>
      <c r="K274" s="2"/>
      <c r="M274" s="52"/>
    </row>
    <row r="275" spans="1:13" outlineLevel="1">
      <c r="A275" s="3"/>
      <c r="B275" s="53" t="s">
        <v>181</v>
      </c>
      <c r="C275" s="56"/>
      <c r="D275" s="51">
        <v>1</v>
      </c>
      <c r="E275" s="69">
        <v>0.87</v>
      </c>
      <c r="F275" s="69"/>
      <c r="G275" s="69">
        <v>2.2000000000000002</v>
      </c>
      <c r="H275" s="69">
        <v>-2</v>
      </c>
      <c r="I275" s="69">
        <f t="shared" si="47"/>
        <v>-3.8280000000000003</v>
      </c>
      <c r="J275" s="69">
        <f t="shared" si="48"/>
        <v>-3.8280000000000003</v>
      </c>
      <c r="K275" s="2"/>
      <c r="M275" s="52"/>
    </row>
    <row r="276" spans="1:13" outlineLevel="1">
      <c r="A276" s="3"/>
      <c r="B276" s="53" t="s">
        <v>188</v>
      </c>
      <c r="C276" s="56"/>
      <c r="D276" s="51">
        <v>1</v>
      </c>
      <c r="E276" s="69">
        <v>0.77</v>
      </c>
      <c r="F276" s="69"/>
      <c r="G276" s="69">
        <v>2.2000000000000002</v>
      </c>
      <c r="H276" s="69">
        <v>-1</v>
      </c>
      <c r="I276" s="69">
        <f t="shared" si="47"/>
        <v>-1.6940000000000002</v>
      </c>
      <c r="J276" s="69">
        <f t="shared" si="48"/>
        <v>-1.6940000000000002</v>
      </c>
      <c r="K276" s="2"/>
      <c r="M276" s="52"/>
    </row>
    <row r="277" spans="1:13" outlineLevel="1">
      <c r="A277" s="3"/>
      <c r="B277" s="53" t="s">
        <v>184</v>
      </c>
      <c r="C277" s="56"/>
      <c r="D277" s="51">
        <v>1</v>
      </c>
      <c r="E277" s="69">
        <v>2.1</v>
      </c>
      <c r="F277" s="69"/>
      <c r="G277" s="69">
        <v>2.2000000000000002</v>
      </c>
      <c r="H277" s="69">
        <v>-1</v>
      </c>
      <c r="I277" s="69">
        <f t="shared" si="47"/>
        <v>-4.620000000000001</v>
      </c>
      <c r="J277" s="69">
        <f t="shared" si="48"/>
        <v>-4.620000000000001</v>
      </c>
      <c r="K277" s="2"/>
      <c r="M277" s="52"/>
    </row>
    <row r="278" spans="1:13" outlineLevel="1">
      <c r="A278" s="3"/>
      <c r="B278" s="53" t="s">
        <v>183</v>
      </c>
      <c r="C278" s="56"/>
      <c r="D278" s="51">
        <v>1</v>
      </c>
      <c r="E278" s="69">
        <v>0.77</v>
      </c>
      <c r="F278" s="69"/>
      <c r="G278" s="69">
        <v>2.2000000000000002</v>
      </c>
      <c r="H278" s="69">
        <v>-1</v>
      </c>
      <c r="I278" s="69">
        <f t="shared" si="47"/>
        <v>-1.6940000000000002</v>
      </c>
      <c r="J278" s="69">
        <f t="shared" si="48"/>
        <v>-1.6940000000000002</v>
      </c>
      <c r="K278" s="2"/>
      <c r="M278" s="52"/>
    </row>
    <row r="279" spans="1:13" outlineLevel="1">
      <c r="A279" s="3"/>
      <c r="B279" s="32" t="s">
        <v>191</v>
      </c>
      <c r="C279" s="54" t="s">
        <v>12</v>
      </c>
      <c r="D279" s="3">
        <v>2</v>
      </c>
      <c r="E279" s="66"/>
      <c r="F279" s="66"/>
      <c r="G279" s="66"/>
      <c r="H279" s="66"/>
      <c r="I279" s="67">
        <f>+SUM(I280:I290)</f>
        <v>110.19349999999997</v>
      </c>
      <c r="J279" s="67">
        <f t="shared" si="48"/>
        <v>220.38699999999994</v>
      </c>
      <c r="K279" s="2" t="s">
        <v>200</v>
      </c>
      <c r="M279" s="52"/>
    </row>
    <row r="280" spans="1:13" outlineLevel="1">
      <c r="A280" s="2"/>
      <c r="B280" s="62" t="s">
        <v>177</v>
      </c>
      <c r="C280" s="55"/>
      <c r="D280" s="2">
        <v>1</v>
      </c>
      <c r="E280" s="70">
        <f>(3355+2000+1045+1070+4850)/1000</f>
        <v>12.32</v>
      </c>
      <c r="F280" s="70"/>
      <c r="G280" s="70">
        <v>2.65</v>
      </c>
      <c r="H280" s="70">
        <v>1</v>
      </c>
      <c r="I280" s="69">
        <f t="shared" ref="I280:I290" si="49">PRODUCT(E280:H280)</f>
        <v>32.647999999999996</v>
      </c>
      <c r="J280" s="69">
        <f t="shared" si="48"/>
        <v>32.647999999999996</v>
      </c>
      <c r="K280" s="2"/>
      <c r="M280" s="52"/>
    </row>
    <row r="281" spans="1:13" outlineLevel="1">
      <c r="A281" s="3"/>
      <c r="B281" s="53" t="s">
        <v>181</v>
      </c>
      <c r="C281" s="56"/>
      <c r="D281" s="51">
        <v>1</v>
      </c>
      <c r="E281" s="69">
        <v>0.87</v>
      </c>
      <c r="F281" s="69"/>
      <c r="G281" s="69">
        <v>2.2000000000000002</v>
      </c>
      <c r="H281" s="69">
        <v>-1</v>
      </c>
      <c r="I281" s="69">
        <f t="shared" si="49"/>
        <v>-1.9140000000000001</v>
      </c>
      <c r="J281" s="69">
        <f t="shared" si="48"/>
        <v>-1.9140000000000001</v>
      </c>
      <c r="K281" s="2"/>
      <c r="M281" s="52"/>
    </row>
    <row r="282" spans="1:13" outlineLevel="1">
      <c r="A282" s="3"/>
      <c r="B282" s="53" t="s">
        <v>183</v>
      </c>
      <c r="C282" s="56"/>
      <c r="D282" s="51">
        <v>1</v>
      </c>
      <c r="E282" s="69">
        <v>0.77</v>
      </c>
      <c r="F282" s="69"/>
      <c r="G282" s="69">
        <v>2.2000000000000002</v>
      </c>
      <c r="H282" s="69">
        <v>-1</v>
      </c>
      <c r="I282" s="69">
        <f t="shared" si="49"/>
        <v>-1.6940000000000002</v>
      </c>
      <c r="J282" s="69">
        <f t="shared" si="48"/>
        <v>-1.6940000000000002</v>
      </c>
      <c r="K282" s="2"/>
      <c r="M282" s="52"/>
    </row>
    <row r="283" spans="1:13" outlineLevel="1">
      <c r="A283" s="2"/>
      <c r="B283" s="62" t="s">
        <v>179</v>
      </c>
      <c r="C283" s="55"/>
      <c r="D283" s="2">
        <v>1</v>
      </c>
      <c r="E283" s="70">
        <f>(4005+2830+4005+2830)/1000</f>
        <v>13.67</v>
      </c>
      <c r="F283" s="70"/>
      <c r="G283" s="70">
        <v>2.65</v>
      </c>
      <c r="H283" s="70">
        <v>1</v>
      </c>
      <c r="I283" s="69">
        <f t="shared" si="49"/>
        <v>36.225499999999997</v>
      </c>
      <c r="J283" s="69">
        <f t="shared" si="48"/>
        <v>36.225499999999997</v>
      </c>
      <c r="K283" s="2"/>
      <c r="M283" s="52"/>
    </row>
    <row r="284" spans="1:13" outlineLevel="1">
      <c r="A284" s="3"/>
      <c r="B284" s="53" t="s">
        <v>181</v>
      </c>
      <c r="C284" s="56"/>
      <c r="D284" s="51">
        <v>1</v>
      </c>
      <c r="E284" s="69">
        <v>0.87</v>
      </c>
      <c r="F284" s="69"/>
      <c r="G284" s="69">
        <v>2.2000000000000002</v>
      </c>
      <c r="H284" s="69">
        <v>-1</v>
      </c>
      <c r="I284" s="69">
        <f t="shared" si="49"/>
        <v>-1.9140000000000001</v>
      </c>
      <c r="J284" s="69">
        <f t="shared" si="48"/>
        <v>-1.9140000000000001</v>
      </c>
      <c r="K284" s="2"/>
      <c r="M284" s="52"/>
    </row>
    <row r="285" spans="1:13" outlineLevel="1">
      <c r="A285" s="3"/>
      <c r="B285" s="53" t="s">
        <v>184</v>
      </c>
      <c r="C285" s="56"/>
      <c r="D285" s="51">
        <v>1</v>
      </c>
      <c r="E285" s="69">
        <v>2.1</v>
      </c>
      <c r="F285" s="69"/>
      <c r="G285" s="69">
        <v>2.2000000000000002</v>
      </c>
      <c r="H285" s="69">
        <v>-1</v>
      </c>
      <c r="I285" s="69">
        <f t="shared" si="49"/>
        <v>-4.620000000000001</v>
      </c>
      <c r="J285" s="69">
        <f t="shared" si="48"/>
        <v>-4.620000000000001</v>
      </c>
      <c r="K285" s="2"/>
      <c r="M285" s="52"/>
    </row>
    <row r="286" spans="1:13" outlineLevel="1">
      <c r="A286" s="2"/>
      <c r="B286" s="62" t="s">
        <v>180</v>
      </c>
      <c r="C286" s="55"/>
      <c r="D286" s="2">
        <v>1</v>
      </c>
      <c r="E286" s="70">
        <f>(5980+1450+1170+955+1170+3950+3050+4105+2330)/1000</f>
        <v>24.16</v>
      </c>
      <c r="F286" s="70"/>
      <c r="G286" s="70">
        <v>2.65</v>
      </c>
      <c r="H286" s="70">
        <v>1</v>
      </c>
      <c r="I286" s="69">
        <f t="shared" si="49"/>
        <v>64.024000000000001</v>
      </c>
      <c r="J286" s="69">
        <f t="shared" si="48"/>
        <v>64.024000000000001</v>
      </c>
      <c r="K286" s="2"/>
      <c r="M286" s="52"/>
    </row>
    <row r="287" spans="1:13" outlineLevel="1">
      <c r="A287" s="3"/>
      <c r="B287" s="53" t="s">
        <v>185</v>
      </c>
      <c r="C287" s="56"/>
      <c r="D287" s="51">
        <v>1</v>
      </c>
      <c r="E287" s="69">
        <v>1.1000000000000001</v>
      </c>
      <c r="F287" s="69"/>
      <c r="G287" s="69">
        <v>2.2000000000000002</v>
      </c>
      <c r="H287" s="69">
        <v>-1</v>
      </c>
      <c r="I287" s="69">
        <f t="shared" si="49"/>
        <v>-2.4200000000000004</v>
      </c>
      <c r="J287" s="69">
        <f t="shared" si="48"/>
        <v>-2.4200000000000004</v>
      </c>
      <c r="K287" s="2"/>
      <c r="M287" s="52"/>
    </row>
    <row r="288" spans="1:13" outlineLevel="1">
      <c r="A288" s="3"/>
      <c r="B288" s="53" t="s">
        <v>181</v>
      </c>
      <c r="C288" s="56"/>
      <c r="D288" s="51">
        <v>1</v>
      </c>
      <c r="E288" s="69">
        <v>0.87</v>
      </c>
      <c r="F288" s="69"/>
      <c r="G288" s="69">
        <v>2.2000000000000002</v>
      </c>
      <c r="H288" s="69">
        <v>-2</v>
      </c>
      <c r="I288" s="69">
        <f t="shared" si="49"/>
        <v>-3.8280000000000003</v>
      </c>
      <c r="J288" s="69">
        <f t="shared" si="48"/>
        <v>-3.8280000000000003</v>
      </c>
      <c r="K288" s="2"/>
      <c r="M288" s="52"/>
    </row>
    <row r="289" spans="1:13" outlineLevel="1">
      <c r="A289" s="3"/>
      <c r="B289" s="53" t="s">
        <v>183</v>
      </c>
      <c r="C289" s="56"/>
      <c r="D289" s="51">
        <v>1</v>
      </c>
      <c r="E289" s="69">
        <v>0.77</v>
      </c>
      <c r="F289" s="69"/>
      <c r="G289" s="69">
        <v>2.2000000000000002</v>
      </c>
      <c r="H289" s="69">
        <v>-1</v>
      </c>
      <c r="I289" s="69">
        <f t="shared" si="49"/>
        <v>-1.6940000000000002</v>
      </c>
      <c r="J289" s="69">
        <f t="shared" si="48"/>
        <v>-1.6940000000000002</v>
      </c>
      <c r="K289" s="2"/>
      <c r="M289" s="52"/>
    </row>
    <row r="290" spans="1:13" outlineLevel="1">
      <c r="A290" s="3"/>
      <c r="B290" s="53" t="s">
        <v>184</v>
      </c>
      <c r="C290" s="56"/>
      <c r="D290" s="51">
        <v>1</v>
      </c>
      <c r="E290" s="69">
        <v>2.1</v>
      </c>
      <c r="F290" s="69"/>
      <c r="G290" s="69">
        <v>2.2000000000000002</v>
      </c>
      <c r="H290" s="69">
        <v>-1</v>
      </c>
      <c r="I290" s="69">
        <f t="shared" si="49"/>
        <v>-4.620000000000001</v>
      </c>
      <c r="J290" s="69">
        <f t="shared" si="48"/>
        <v>-4.620000000000001</v>
      </c>
      <c r="K290" s="2"/>
      <c r="M290" s="52"/>
    </row>
    <row r="291" spans="1:13" outlineLevel="1">
      <c r="A291" s="3"/>
      <c r="B291" s="32" t="s">
        <v>194</v>
      </c>
      <c r="C291" s="54"/>
      <c r="D291" s="3">
        <v>2</v>
      </c>
      <c r="E291" s="66"/>
      <c r="F291" s="66"/>
      <c r="G291" s="66"/>
      <c r="H291" s="66"/>
      <c r="I291" s="67">
        <f>+SUM(I292:I301)</f>
        <v>84.031349999999975</v>
      </c>
      <c r="J291" s="67">
        <f>+D291*I291</f>
        <v>168.06269999999995</v>
      </c>
      <c r="K291" s="2"/>
      <c r="M291" s="52"/>
    </row>
    <row r="292" spans="1:13" outlineLevel="1">
      <c r="A292" s="3"/>
      <c r="B292" s="53" t="s">
        <v>177</v>
      </c>
      <c r="C292" s="56"/>
      <c r="D292" s="51">
        <v>1</v>
      </c>
      <c r="E292" s="69">
        <f>(3897+975+897+100+550+2075)/1000</f>
        <v>8.4939999999999998</v>
      </c>
      <c r="F292" s="69"/>
      <c r="G292" s="69">
        <v>2.65</v>
      </c>
      <c r="H292" s="69">
        <v>1</v>
      </c>
      <c r="I292" s="69">
        <f t="shared" ref="I292:I301" si="50">PRODUCT(E292:H292)</f>
        <v>22.5091</v>
      </c>
      <c r="J292" s="69">
        <f t="shared" ref="J292:J325" si="51">I292*D292</f>
        <v>22.5091</v>
      </c>
      <c r="K292" s="2" t="s">
        <v>199</v>
      </c>
      <c r="M292" s="52"/>
    </row>
    <row r="293" spans="1:13" outlineLevel="1">
      <c r="A293" s="3"/>
      <c r="B293" s="53" t="s">
        <v>181</v>
      </c>
      <c r="C293" s="56"/>
      <c r="D293" s="51">
        <v>1</v>
      </c>
      <c r="E293" s="69">
        <v>0.87</v>
      </c>
      <c r="F293" s="69"/>
      <c r="G293" s="69">
        <v>2.2000000000000002</v>
      </c>
      <c r="H293" s="69">
        <v>-1</v>
      </c>
      <c r="I293" s="69">
        <f t="shared" si="50"/>
        <v>-1.9140000000000001</v>
      </c>
      <c r="J293" s="69">
        <f t="shared" si="51"/>
        <v>-1.9140000000000001</v>
      </c>
      <c r="K293" s="2"/>
      <c r="M293" s="52"/>
    </row>
    <row r="294" spans="1:13" outlineLevel="1">
      <c r="A294" s="3"/>
      <c r="B294" s="53" t="s">
        <v>179</v>
      </c>
      <c r="C294" s="56"/>
      <c r="D294" s="51">
        <v>1</v>
      </c>
      <c r="E294" s="69">
        <f>(3000+3355+975+750+2175)/1000</f>
        <v>10.255000000000001</v>
      </c>
      <c r="F294" s="69"/>
      <c r="G294" s="69">
        <v>2.65</v>
      </c>
      <c r="H294" s="69">
        <v>1</v>
      </c>
      <c r="I294" s="69">
        <f t="shared" si="50"/>
        <v>27.175750000000001</v>
      </c>
      <c r="J294" s="69">
        <f t="shared" si="51"/>
        <v>27.175750000000001</v>
      </c>
      <c r="K294" s="2"/>
      <c r="M294" s="52"/>
    </row>
    <row r="295" spans="1:13" outlineLevel="1">
      <c r="A295" s="3"/>
      <c r="B295" s="53" t="s">
        <v>181</v>
      </c>
      <c r="C295" s="56"/>
      <c r="D295" s="51">
        <v>1</v>
      </c>
      <c r="E295" s="69">
        <v>0.87</v>
      </c>
      <c r="F295" s="69"/>
      <c r="G295" s="69">
        <v>2.2000000000000002</v>
      </c>
      <c r="H295" s="69">
        <v>-1</v>
      </c>
      <c r="I295" s="69">
        <f t="shared" si="50"/>
        <v>-1.9140000000000001</v>
      </c>
      <c r="J295" s="69">
        <f t="shared" si="51"/>
        <v>-1.9140000000000001</v>
      </c>
      <c r="K295" s="2"/>
      <c r="M295" s="52"/>
    </row>
    <row r="296" spans="1:13" outlineLevel="1">
      <c r="A296" s="3"/>
      <c r="B296" s="53" t="s">
        <v>186</v>
      </c>
      <c r="C296" s="56"/>
      <c r="D296" s="51">
        <v>1</v>
      </c>
      <c r="E296" s="69">
        <v>1.2</v>
      </c>
      <c r="F296" s="69"/>
      <c r="G296" s="69">
        <v>1.5</v>
      </c>
      <c r="H296" s="69">
        <v>-1</v>
      </c>
      <c r="I296" s="69">
        <f t="shared" si="50"/>
        <v>-1.7999999999999998</v>
      </c>
      <c r="J296" s="69">
        <f t="shared" si="51"/>
        <v>-1.7999999999999998</v>
      </c>
      <c r="K296" s="2"/>
      <c r="M296" s="52"/>
    </row>
    <row r="297" spans="1:13" outlineLevel="1">
      <c r="A297" s="3"/>
      <c r="B297" s="53" t="s">
        <v>180</v>
      </c>
      <c r="C297" s="56"/>
      <c r="D297" s="51">
        <v>1</v>
      </c>
      <c r="E297" s="69">
        <f>(2505+3455+1075+1103+1075+2697+2950+4990)/1000</f>
        <v>19.850000000000001</v>
      </c>
      <c r="F297" s="69"/>
      <c r="G297" s="69">
        <v>2.65</v>
      </c>
      <c r="H297" s="69">
        <v>1</v>
      </c>
      <c r="I297" s="69">
        <f t="shared" si="50"/>
        <v>52.602499999999999</v>
      </c>
      <c r="J297" s="69">
        <f t="shared" si="51"/>
        <v>52.602499999999999</v>
      </c>
      <c r="K297" s="2"/>
      <c r="M297" s="52"/>
    </row>
    <row r="298" spans="1:13" outlineLevel="1">
      <c r="A298" s="3"/>
      <c r="B298" s="53" t="s">
        <v>185</v>
      </c>
      <c r="C298" s="56"/>
      <c r="D298" s="51">
        <v>1</v>
      </c>
      <c r="E298" s="69">
        <v>1.1000000000000001</v>
      </c>
      <c r="F298" s="69"/>
      <c r="G298" s="69">
        <v>2.2000000000000002</v>
      </c>
      <c r="H298" s="69">
        <v>-1</v>
      </c>
      <c r="I298" s="69">
        <f t="shared" si="50"/>
        <v>-2.4200000000000004</v>
      </c>
      <c r="J298" s="69">
        <f t="shared" si="51"/>
        <v>-2.4200000000000004</v>
      </c>
      <c r="K298" s="2"/>
      <c r="M298" s="52"/>
    </row>
    <row r="299" spans="1:13" outlineLevel="1">
      <c r="A299" s="3"/>
      <c r="B299" s="53" t="s">
        <v>181</v>
      </c>
      <c r="C299" s="56"/>
      <c r="D299" s="51">
        <v>1</v>
      </c>
      <c r="E299" s="69">
        <v>0.87</v>
      </c>
      <c r="F299" s="69"/>
      <c r="G299" s="69">
        <v>2.2000000000000002</v>
      </c>
      <c r="H299" s="69">
        <v>-2</v>
      </c>
      <c r="I299" s="69">
        <f t="shared" si="50"/>
        <v>-3.8280000000000003</v>
      </c>
      <c r="J299" s="69">
        <f t="shared" si="51"/>
        <v>-3.8280000000000003</v>
      </c>
      <c r="K299" s="2"/>
      <c r="M299" s="52"/>
    </row>
    <row r="300" spans="1:13" outlineLevel="1">
      <c r="A300" s="3"/>
      <c r="B300" s="53" t="s">
        <v>184</v>
      </c>
      <c r="C300" s="56"/>
      <c r="D300" s="51">
        <v>1</v>
      </c>
      <c r="E300" s="69">
        <v>2.1</v>
      </c>
      <c r="F300" s="69"/>
      <c r="G300" s="69">
        <v>2.2000000000000002</v>
      </c>
      <c r="H300" s="69">
        <v>-1</v>
      </c>
      <c r="I300" s="69">
        <f t="shared" si="50"/>
        <v>-4.620000000000001</v>
      </c>
      <c r="J300" s="69">
        <f t="shared" si="51"/>
        <v>-4.620000000000001</v>
      </c>
      <c r="K300" s="2"/>
      <c r="M300" s="52"/>
    </row>
    <row r="301" spans="1:13" outlineLevel="1">
      <c r="A301" s="3"/>
      <c r="B301" s="53" t="s">
        <v>189</v>
      </c>
      <c r="C301" s="56"/>
      <c r="D301" s="51">
        <v>1</v>
      </c>
      <c r="E301" s="69">
        <v>0.8</v>
      </c>
      <c r="F301" s="69"/>
      <c r="G301" s="69">
        <v>2.2000000000000002</v>
      </c>
      <c r="H301" s="69">
        <v>-1</v>
      </c>
      <c r="I301" s="69">
        <f t="shared" si="50"/>
        <v>-1.7600000000000002</v>
      </c>
      <c r="J301" s="69">
        <f t="shared" si="51"/>
        <v>-1.7600000000000002</v>
      </c>
      <c r="K301" s="2"/>
      <c r="M301" s="52"/>
    </row>
    <row r="302" spans="1:13" outlineLevel="1">
      <c r="A302" s="3"/>
      <c r="B302" s="32" t="s">
        <v>195</v>
      </c>
      <c r="C302" s="54"/>
      <c r="D302" s="3">
        <v>2</v>
      </c>
      <c r="E302" s="66"/>
      <c r="F302" s="66"/>
      <c r="G302" s="66"/>
      <c r="H302" s="66"/>
      <c r="I302" s="67">
        <f>+SUM(I303:I309)</f>
        <v>70.409749999999988</v>
      </c>
      <c r="J302" s="67">
        <f t="shared" si="51"/>
        <v>140.81949999999998</v>
      </c>
      <c r="K302" s="2" t="s">
        <v>203</v>
      </c>
      <c r="M302" s="52"/>
    </row>
    <row r="303" spans="1:13" outlineLevel="1">
      <c r="A303" s="2"/>
      <c r="B303" s="62" t="s">
        <v>177</v>
      </c>
      <c r="C303" s="55"/>
      <c r="D303" s="2"/>
      <c r="E303" s="70">
        <f>(3150+4250)/1000</f>
        <v>7.4</v>
      </c>
      <c r="F303" s="70"/>
      <c r="G303" s="70">
        <v>2.65</v>
      </c>
      <c r="H303" s="70">
        <v>1</v>
      </c>
      <c r="I303" s="69">
        <f t="shared" ref="I303:I309" si="52">PRODUCT(E303:H303)</f>
        <v>19.61</v>
      </c>
      <c r="J303" s="69">
        <f t="shared" si="51"/>
        <v>0</v>
      </c>
      <c r="K303" s="2"/>
      <c r="M303" s="52"/>
    </row>
    <row r="304" spans="1:13" outlineLevel="1">
      <c r="A304" s="3"/>
      <c r="B304" s="53" t="s">
        <v>181</v>
      </c>
      <c r="C304" s="56"/>
      <c r="D304" s="51">
        <v>1</v>
      </c>
      <c r="E304" s="69">
        <v>0.87</v>
      </c>
      <c r="F304" s="69"/>
      <c r="G304" s="69">
        <v>2.2000000000000002</v>
      </c>
      <c r="H304" s="69">
        <v>-1</v>
      </c>
      <c r="I304" s="69">
        <f t="shared" si="52"/>
        <v>-1.9140000000000001</v>
      </c>
      <c r="J304" s="69">
        <f t="shared" si="51"/>
        <v>-1.9140000000000001</v>
      </c>
      <c r="K304" s="2"/>
      <c r="M304" s="52"/>
    </row>
    <row r="305" spans="1:13" outlineLevel="1">
      <c r="A305" s="2"/>
      <c r="B305" s="62" t="s">
        <v>180</v>
      </c>
      <c r="C305" s="55"/>
      <c r="D305" s="2">
        <v>1</v>
      </c>
      <c r="E305" s="70">
        <f>(3215+850+265+1615+1400+550+1700+3250+3150+2950+4990)/1000</f>
        <v>23.934999999999999</v>
      </c>
      <c r="F305" s="70"/>
      <c r="G305" s="70">
        <v>2.65</v>
      </c>
      <c r="H305" s="70">
        <v>1</v>
      </c>
      <c r="I305" s="69">
        <f t="shared" si="52"/>
        <v>63.427749999999996</v>
      </c>
      <c r="J305" s="69">
        <f t="shared" si="51"/>
        <v>63.427749999999996</v>
      </c>
      <c r="K305" s="2"/>
      <c r="M305" s="52"/>
    </row>
    <row r="306" spans="1:13" outlineLevel="1">
      <c r="A306" s="3"/>
      <c r="B306" s="53" t="s">
        <v>185</v>
      </c>
      <c r="C306" s="56"/>
      <c r="D306" s="51">
        <v>1</v>
      </c>
      <c r="E306" s="69">
        <v>1.1000000000000001</v>
      </c>
      <c r="F306" s="69"/>
      <c r="G306" s="69">
        <v>2.2000000000000002</v>
      </c>
      <c r="H306" s="69">
        <v>-1</v>
      </c>
      <c r="I306" s="69">
        <f t="shared" si="52"/>
        <v>-2.4200000000000004</v>
      </c>
      <c r="J306" s="69">
        <f t="shared" si="51"/>
        <v>-2.4200000000000004</v>
      </c>
      <c r="K306" s="2"/>
      <c r="M306" s="52"/>
    </row>
    <row r="307" spans="1:13" outlineLevel="1">
      <c r="A307" s="3"/>
      <c r="B307" s="53" t="s">
        <v>181</v>
      </c>
      <c r="C307" s="56"/>
      <c r="D307" s="51">
        <v>1</v>
      </c>
      <c r="E307" s="69">
        <v>0.87</v>
      </c>
      <c r="F307" s="69"/>
      <c r="G307" s="69">
        <v>2.2000000000000002</v>
      </c>
      <c r="H307" s="69">
        <v>-1</v>
      </c>
      <c r="I307" s="69">
        <f t="shared" si="52"/>
        <v>-1.9140000000000001</v>
      </c>
      <c r="J307" s="69">
        <f t="shared" si="51"/>
        <v>-1.9140000000000001</v>
      </c>
      <c r="K307" s="2"/>
      <c r="M307" s="52"/>
    </row>
    <row r="308" spans="1:13" outlineLevel="1">
      <c r="A308" s="3"/>
      <c r="B308" s="53" t="s">
        <v>189</v>
      </c>
      <c r="C308" s="56"/>
      <c r="D308" s="51">
        <v>1</v>
      </c>
      <c r="E308" s="69">
        <v>0.8</v>
      </c>
      <c r="F308" s="69"/>
      <c r="G308" s="69">
        <v>2.2000000000000002</v>
      </c>
      <c r="H308" s="69">
        <v>-1</v>
      </c>
      <c r="I308" s="69">
        <f t="shared" si="52"/>
        <v>-1.7600000000000002</v>
      </c>
      <c r="J308" s="69">
        <f t="shared" si="51"/>
        <v>-1.7600000000000002</v>
      </c>
      <c r="K308" s="2"/>
      <c r="M308" s="52"/>
    </row>
    <row r="309" spans="1:13" outlineLevel="1">
      <c r="A309" s="3"/>
      <c r="B309" s="53" t="s">
        <v>184</v>
      </c>
      <c r="C309" s="56"/>
      <c r="D309" s="51">
        <v>1</v>
      </c>
      <c r="E309" s="69">
        <v>2.1</v>
      </c>
      <c r="F309" s="69"/>
      <c r="G309" s="69">
        <v>2.2000000000000002</v>
      </c>
      <c r="H309" s="69">
        <v>-1</v>
      </c>
      <c r="I309" s="69">
        <f t="shared" si="52"/>
        <v>-4.620000000000001</v>
      </c>
      <c r="J309" s="69">
        <f t="shared" si="51"/>
        <v>-4.620000000000001</v>
      </c>
      <c r="K309" s="2"/>
      <c r="M309" s="52"/>
    </row>
    <row r="310" spans="1:13" outlineLevel="1">
      <c r="A310" s="3"/>
      <c r="B310" s="32" t="s">
        <v>196</v>
      </c>
      <c r="C310" s="54"/>
      <c r="D310" s="3">
        <v>2</v>
      </c>
      <c r="E310" s="66"/>
      <c r="F310" s="66"/>
      <c r="G310" s="66"/>
      <c r="H310" s="66"/>
      <c r="I310" s="67">
        <f>+SUM(I311:I321)</f>
        <v>125.00474999999999</v>
      </c>
      <c r="J310" s="67">
        <f t="shared" si="51"/>
        <v>250.00949999999997</v>
      </c>
      <c r="K310" s="2" t="s">
        <v>204</v>
      </c>
      <c r="M310" s="52"/>
    </row>
    <row r="311" spans="1:13" outlineLevel="1">
      <c r="A311" s="2"/>
      <c r="B311" s="62" t="s">
        <v>177</v>
      </c>
      <c r="C311" s="55"/>
      <c r="D311" s="2">
        <v>1</v>
      </c>
      <c r="E311" s="70">
        <f>(4300+900+1000+1900+3050)/1000</f>
        <v>11.15</v>
      </c>
      <c r="F311" s="70"/>
      <c r="G311" s="70">
        <v>2.65</v>
      </c>
      <c r="H311" s="70">
        <v>1</v>
      </c>
      <c r="I311" s="69">
        <f t="shared" ref="I311:I321" si="53">PRODUCT(E311:H311)</f>
        <v>29.547499999999999</v>
      </c>
      <c r="J311" s="69">
        <f t="shared" si="51"/>
        <v>29.547499999999999</v>
      </c>
      <c r="K311" s="2"/>
      <c r="M311" s="52"/>
    </row>
    <row r="312" spans="1:13" outlineLevel="1">
      <c r="A312" s="2"/>
      <c r="B312" s="53" t="s">
        <v>181</v>
      </c>
      <c r="C312" s="56"/>
      <c r="D312" s="51">
        <v>1</v>
      </c>
      <c r="E312" s="69">
        <v>0.87</v>
      </c>
      <c r="F312" s="69"/>
      <c r="G312" s="69">
        <v>2.2000000000000002</v>
      </c>
      <c r="H312" s="69">
        <v>-1</v>
      </c>
      <c r="I312" s="69">
        <f t="shared" si="53"/>
        <v>-1.9140000000000001</v>
      </c>
      <c r="J312" s="69">
        <f t="shared" si="51"/>
        <v>-1.9140000000000001</v>
      </c>
      <c r="K312" s="2"/>
      <c r="M312" s="52"/>
    </row>
    <row r="313" spans="1:13" outlineLevel="1">
      <c r="A313" s="2"/>
      <c r="B313" s="53" t="s">
        <v>183</v>
      </c>
      <c r="C313" s="56"/>
      <c r="D313" s="51">
        <v>1</v>
      </c>
      <c r="E313" s="69">
        <v>0.77</v>
      </c>
      <c r="F313" s="69"/>
      <c r="G313" s="69">
        <v>2.2000000000000002</v>
      </c>
      <c r="H313" s="69">
        <v>-1</v>
      </c>
      <c r="I313" s="69">
        <f t="shared" si="53"/>
        <v>-1.6940000000000002</v>
      </c>
      <c r="J313" s="69">
        <f t="shared" si="51"/>
        <v>-1.6940000000000002</v>
      </c>
      <c r="K313" s="2"/>
      <c r="M313" s="52"/>
    </row>
    <row r="314" spans="1:13" outlineLevel="1">
      <c r="A314" s="2"/>
      <c r="B314" s="62" t="s">
        <v>179</v>
      </c>
      <c r="C314" s="55"/>
      <c r="D314" s="2">
        <v>1</v>
      </c>
      <c r="E314" s="70">
        <f>(2950+3050+2960)/1000</f>
        <v>8.9600000000000009</v>
      </c>
      <c r="F314" s="70"/>
      <c r="G314" s="70">
        <v>2.65</v>
      </c>
      <c r="H314" s="70">
        <v>1</v>
      </c>
      <c r="I314" s="69">
        <f t="shared" si="53"/>
        <v>23.744</v>
      </c>
      <c r="J314" s="69">
        <f t="shared" si="51"/>
        <v>23.744</v>
      </c>
      <c r="K314" s="2"/>
      <c r="M314" s="52"/>
    </row>
    <row r="315" spans="1:13" outlineLevel="1">
      <c r="A315" s="2"/>
      <c r="B315" s="53" t="s">
        <v>181</v>
      </c>
      <c r="C315" s="56"/>
      <c r="D315" s="51">
        <v>1</v>
      </c>
      <c r="E315" s="69">
        <v>0.87</v>
      </c>
      <c r="F315" s="69"/>
      <c r="G315" s="69">
        <v>2.2000000000000002</v>
      </c>
      <c r="H315" s="69">
        <v>-1</v>
      </c>
      <c r="I315" s="69">
        <f t="shared" si="53"/>
        <v>-1.9140000000000001</v>
      </c>
      <c r="J315" s="69">
        <f t="shared" si="51"/>
        <v>-1.9140000000000001</v>
      </c>
      <c r="K315" s="2"/>
      <c r="M315" s="52"/>
    </row>
    <row r="316" spans="1:13" outlineLevel="1">
      <c r="A316" s="2"/>
      <c r="B316" s="62" t="s">
        <v>180</v>
      </c>
      <c r="C316" s="55"/>
      <c r="D316" s="2">
        <v>1</v>
      </c>
      <c r="E316" s="70">
        <f>(6915+4300+1150+100+1050+3050+1950+3150+2050+3000+3400+1000+900+1055+1455)/1000</f>
        <v>34.524999999999999</v>
      </c>
      <c r="F316" s="70"/>
      <c r="G316" s="70">
        <v>2.65</v>
      </c>
      <c r="H316" s="70">
        <v>1</v>
      </c>
      <c r="I316" s="69">
        <f t="shared" si="53"/>
        <v>91.491249999999994</v>
      </c>
      <c r="J316" s="69">
        <f t="shared" si="51"/>
        <v>91.491249999999994</v>
      </c>
      <c r="K316" s="2"/>
      <c r="M316" s="52"/>
    </row>
    <row r="317" spans="1:13" outlineLevel="1">
      <c r="A317" s="3"/>
      <c r="B317" s="53" t="s">
        <v>185</v>
      </c>
      <c r="C317" s="56"/>
      <c r="D317" s="51">
        <v>1</v>
      </c>
      <c r="E317" s="69">
        <v>1.1000000000000001</v>
      </c>
      <c r="F317" s="69"/>
      <c r="G317" s="69">
        <v>2.2000000000000002</v>
      </c>
      <c r="H317" s="69">
        <v>-1</v>
      </c>
      <c r="I317" s="69">
        <f t="shared" si="53"/>
        <v>-2.4200000000000004</v>
      </c>
      <c r="J317" s="69">
        <f t="shared" si="51"/>
        <v>-2.4200000000000004</v>
      </c>
      <c r="K317" s="2"/>
      <c r="M317" s="52"/>
    </row>
    <row r="318" spans="1:13" outlineLevel="1">
      <c r="A318" s="3"/>
      <c r="B318" s="53" t="s">
        <v>188</v>
      </c>
      <c r="C318" s="56"/>
      <c r="D318" s="51">
        <v>1</v>
      </c>
      <c r="E318" s="69">
        <v>0.77</v>
      </c>
      <c r="F318" s="69"/>
      <c r="G318" s="69">
        <v>2.2000000000000002</v>
      </c>
      <c r="H318" s="69">
        <v>-1</v>
      </c>
      <c r="I318" s="69">
        <f t="shared" si="53"/>
        <v>-1.6940000000000002</v>
      </c>
      <c r="J318" s="69">
        <f t="shared" si="51"/>
        <v>-1.6940000000000002</v>
      </c>
      <c r="K318" s="2"/>
      <c r="M318" s="52"/>
    </row>
    <row r="319" spans="1:13" outlineLevel="1">
      <c r="A319" s="2"/>
      <c r="B319" s="53" t="s">
        <v>181</v>
      </c>
      <c r="C319" s="56"/>
      <c r="D319" s="51">
        <v>1</v>
      </c>
      <c r="E319" s="69">
        <v>0.87</v>
      </c>
      <c r="F319" s="69"/>
      <c r="G319" s="69">
        <v>2.2000000000000002</v>
      </c>
      <c r="H319" s="69">
        <v>-2</v>
      </c>
      <c r="I319" s="69">
        <f t="shared" si="53"/>
        <v>-3.8280000000000003</v>
      </c>
      <c r="J319" s="69">
        <f t="shared" si="51"/>
        <v>-3.8280000000000003</v>
      </c>
      <c r="K319" s="2"/>
      <c r="M319" s="52"/>
    </row>
    <row r="320" spans="1:13" outlineLevel="1">
      <c r="A320" s="3"/>
      <c r="B320" s="53" t="s">
        <v>184</v>
      </c>
      <c r="C320" s="56"/>
      <c r="D320" s="51">
        <v>1</v>
      </c>
      <c r="E320" s="69">
        <v>2.1</v>
      </c>
      <c r="F320" s="69"/>
      <c r="G320" s="69">
        <v>2.2000000000000002</v>
      </c>
      <c r="H320" s="69">
        <v>-1</v>
      </c>
      <c r="I320" s="69">
        <f t="shared" si="53"/>
        <v>-4.620000000000001</v>
      </c>
      <c r="J320" s="69">
        <f t="shared" si="51"/>
        <v>-4.620000000000001</v>
      </c>
      <c r="K320" s="2"/>
      <c r="M320" s="52"/>
    </row>
    <row r="321" spans="1:14" outlineLevel="1">
      <c r="A321" s="2"/>
      <c r="B321" s="53" t="s">
        <v>183</v>
      </c>
      <c r="C321" s="56"/>
      <c r="D321" s="51">
        <v>1</v>
      </c>
      <c r="E321" s="69">
        <v>0.77</v>
      </c>
      <c r="F321" s="69"/>
      <c r="G321" s="69">
        <v>2.2000000000000002</v>
      </c>
      <c r="H321" s="69">
        <v>-1</v>
      </c>
      <c r="I321" s="69">
        <f t="shared" si="53"/>
        <v>-1.6940000000000002</v>
      </c>
      <c r="J321" s="69">
        <f t="shared" si="51"/>
        <v>-1.6940000000000002</v>
      </c>
      <c r="K321" s="2"/>
      <c r="M321" s="52"/>
    </row>
    <row r="322" spans="1:14" s="4" customFormat="1" ht="14.25" outlineLevel="1">
      <c r="A322" s="3"/>
      <c r="B322" s="32" t="s">
        <v>101</v>
      </c>
      <c r="C322" s="54"/>
      <c r="D322" s="3">
        <v>2</v>
      </c>
      <c r="E322" s="66"/>
      <c r="F322" s="66"/>
      <c r="G322" s="66"/>
      <c r="H322" s="66"/>
      <c r="I322" s="67">
        <f>+SUM(I323:I325)</f>
        <v>286.39499999999998</v>
      </c>
      <c r="J322" s="67">
        <f t="shared" si="51"/>
        <v>572.79</v>
      </c>
      <c r="K322" s="3"/>
      <c r="M322" s="63"/>
    </row>
    <row r="323" spans="1:14" outlineLevel="1">
      <c r="A323" s="2"/>
      <c r="B323" s="53" t="s">
        <v>206</v>
      </c>
      <c r="C323" s="56"/>
      <c r="D323" s="51">
        <v>1</v>
      </c>
      <c r="E323" s="69">
        <f>(5600+7100+9050+7100+7100+7100+10100+7100+5600+5600+7200+6050+7100+7100+6050+7100+5600)/1000</f>
        <v>117.65</v>
      </c>
      <c r="F323" s="69"/>
      <c r="G323" s="69">
        <v>2.5</v>
      </c>
      <c r="H323" s="69">
        <v>1</v>
      </c>
      <c r="I323" s="69">
        <f t="shared" ref="I323:I325" si="54">PRODUCT(E323:H323)</f>
        <v>294.125</v>
      </c>
      <c r="J323" s="69">
        <f t="shared" si="51"/>
        <v>294.125</v>
      </c>
      <c r="K323" s="2"/>
      <c r="M323" s="52"/>
    </row>
    <row r="324" spans="1:14" outlineLevel="1">
      <c r="A324" s="2"/>
      <c r="B324" s="53"/>
      <c r="C324" s="56"/>
      <c r="D324" s="51">
        <v>1</v>
      </c>
      <c r="E324" s="69">
        <f>7.65*2</f>
        <v>15.3</v>
      </c>
      <c r="F324" s="69"/>
      <c r="G324" s="69">
        <v>2.5</v>
      </c>
      <c r="H324" s="69">
        <v>1</v>
      </c>
      <c r="I324" s="69">
        <f t="shared" si="54"/>
        <v>38.25</v>
      </c>
      <c r="J324" s="69">
        <f t="shared" si="51"/>
        <v>38.25</v>
      </c>
      <c r="K324" s="2"/>
      <c r="M324" s="52"/>
    </row>
    <row r="325" spans="1:14" outlineLevel="1">
      <c r="A325" s="3"/>
      <c r="B325" s="53" t="s">
        <v>185</v>
      </c>
      <c r="C325" s="56"/>
      <c r="D325" s="51">
        <v>1</v>
      </c>
      <c r="E325" s="69">
        <v>1.1000000000000001</v>
      </c>
      <c r="F325" s="69"/>
      <c r="G325" s="69">
        <v>2.2000000000000002</v>
      </c>
      <c r="H325" s="69">
        <v>-19</v>
      </c>
      <c r="I325" s="69">
        <f t="shared" si="54"/>
        <v>-45.980000000000004</v>
      </c>
      <c r="J325" s="69">
        <f t="shared" si="51"/>
        <v>-45.980000000000004</v>
      </c>
      <c r="K325" s="2"/>
      <c r="M325" s="52"/>
    </row>
    <row r="326" spans="1:14">
      <c r="A326" s="58">
        <v>5</v>
      </c>
      <c r="B326" s="59" t="s">
        <v>176</v>
      </c>
      <c r="C326" s="60"/>
      <c r="D326" s="58">
        <v>1</v>
      </c>
      <c r="E326" s="68"/>
      <c r="F326" s="68"/>
      <c r="G326" s="68"/>
      <c r="H326" s="68"/>
      <c r="I326" s="68">
        <f>+J327+J339+J352+J364+J375+J383+J415</f>
        <v>3746.9731999999995</v>
      </c>
      <c r="J326" s="68">
        <f>+D326*I326</f>
        <v>3746.9731999999995</v>
      </c>
      <c r="K326" s="61"/>
      <c r="M326" s="52"/>
    </row>
    <row r="327" spans="1:14" outlineLevel="1">
      <c r="A327" s="3"/>
      <c r="B327" s="32" t="s">
        <v>263</v>
      </c>
      <c r="C327" s="54"/>
      <c r="D327" s="3">
        <v>6</v>
      </c>
      <c r="E327" s="66"/>
      <c r="F327" s="66"/>
      <c r="G327" s="66"/>
      <c r="H327" s="66"/>
      <c r="I327" s="67">
        <f>+SUM(I328:I338)</f>
        <v>112.07274999999997</v>
      </c>
      <c r="J327" s="67">
        <f>+D327*I327</f>
        <v>672.4364999999998</v>
      </c>
      <c r="K327" s="2"/>
      <c r="M327" s="52"/>
      <c r="N327" s="52"/>
    </row>
    <row r="328" spans="1:14" outlineLevel="1">
      <c r="A328" s="3"/>
      <c r="B328" s="53" t="s">
        <v>177</v>
      </c>
      <c r="C328" s="56"/>
      <c r="D328" s="51">
        <v>1</v>
      </c>
      <c r="E328" s="69">
        <f>2.9+3</f>
        <v>5.9</v>
      </c>
      <c r="F328" s="69"/>
      <c r="G328" s="69">
        <v>2.65</v>
      </c>
      <c r="H328" s="69">
        <v>1</v>
      </c>
      <c r="I328" s="69">
        <f t="shared" ref="I328:I338" si="55">PRODUCT(E328:H328)</f>
        <v>15.635</v>
      </c>
      <c r="J328" s="69">
        <f t="shared" ref="J328:J338" si="56">I328*D328</f>
        <v>15.635</v>
      </c>
      <c r="K328" s="2" t="s">
        <v>197</v>
      </c>
      <c r="M328" s="52"/>
    </row>
    <row r="329" spans="1:14" outlineLevel="1">
      <c r="A329" s="3"/>
      <c r="B329" s="53" t="s">
        <v>13</v>
      </c>
      <c r="C329" s="56"/>
      <c r="D329" s="51">
        <v>1</v>
      </c>
      <c r="E329" s="69">
        <v>0.87</v>
      </c>
      <c r="F329" s="69"/>
      <c r="G329" s="69">
        <v>2.2000000000000002</v>
      </c>
      <c r="H329" s="69">
        <v>-1</v>
      </c>
      <c r="I329" s="69">
        <f t="shared" si="55"/>
        <v>-1.9140000000000001</v>
      </c>
      <c r="J329" s="69">
        <f t="shared" si="56"/>
        <v>-1.9140000000000001</v>
      </c>
      <c r="K329" s="2"/>
      <c r="M329" s="52"/>
    </row>
    <row r="330" spans="1:14" outlineLevel="1">
      <c r="A330" s="3"/>
      <c r="B330" s="53" t="s">
        <v>179</v>
      </c>
      <c r="C330" s="56"/>
      <c r="D330" s="51">
        <v>1</v>
      </c>
      <c r="E330" s="69">
        <f>(6050+1050+1200+1900+3200)/1000</f>
        <v>13.4</v>
      </c>
      <c r="F330" s="69"/>
      <c r="G330" s="69">
        <v>2.65</v>
      </c>
      <c r="H330" s="69">
        <v>1</v>
      </c>
      <c r="I330" s="69">
        <f t="shared" si="55"/>
        <v>35.51</v>
      </c>
      <c r="J330" s="69">
        <f t="shared" si="56"/>
        <v>35.51</v>
      </c>
      <c r="K330" s="2"/>
      <c r="M330" s="52"/>
    </row>
    <row r="331" spans="1:14" outlineLevel="1">
      <c r="A331" s="3"/>
      <c r="B331" s="53" t="s">
        <v>181</v>
      </c>
      <c r="C331" s="56"/>
      <c r="D331" s="51">
        <v>1</v>
      </c>
      <c r="E331" s="69">
        <v>0.87</v>
      </c>
      <c r="F331" s="69"/>
      <c r="G331" s="69">
        <v>2.2000000000000002</v>
      </c>
      <c r="H331" s="69">
        <v>-1</v>
      </c>
      <c r="I331" s="69">
        <f t="shared" si="55"/>
        <v>-1.9140000000000001</v>
      </c>
      <c r="J331" s="69">
        <f t="shared" si="56"/>
        <v>-1.9140000000000001</v>
      </c>
      <c r="K331" s="2"/>
      <c r="M331" s="52"/>
    </row>
    <row r="332" spans="1:14" outlineLevel="1">
      <c r="A332" s="3"/>
      <c r="B332" s="53" t="s">
        <v>183</v>
      </c>
      <c r="C332" s="56"/>
      <c r="D332" s="51">
        <v>1</v>
      </c>
      <c r="E332" s="69">
        <v>0.77</v>
      </c>
      <c r="F332" s="69"/>
      <c r="G332" s="69">
        <v>2.2000000000000002</v>
      </c>
      <c r="H332" s="69">
        <v>-1</v>
      </c>
      <c r="I332" s="69">
        <f t="shared" si="55"/>
        <v>-1.6940000000000002</v>
      </c>
      <c r="J332" s="69">
        <f t="shared" si="56"/>
        <v>-1.6940000000000002</v>
      </c>
      <c r="K332" s="2"/>
      <c r="M332" s="52"/>
    </row>
    <row r="333" spans="1:14" outlineLevel="1">
      <c r="A333" s="3"/>
      <c r="B333" s="53" t="s">
        <v>180</v>
      </c>
      <c r="C333" s="56"/>
      <c r="D333" s="51">
        <v>1</v>
      </c>
      <c r="E333" s="69">
        <f>(2900+600+100+3000+3100+2950+5150+1150+905+1150+1500+2650+1300+100+600+1750+1550)/1000</f>
        <v>30.454999999999998</v>
      </c>
      <c r="F333" s="69"/>
      <c r="G333" s="69">
        <v>2.65</v>
      </c>
      <c r="H333" s="69">
        <v>1</v>
      </c>
      <c r="I333" s="69">
        <f t="shared" si="55"/>
        <v>80.705749999999995</v>
      </c>
      <c r="J333" s="69">
        <f t="shared" si="56"/>
        <v>80.705749999999995</v>
      </c>
      <c r="K333" s="2"/>
      <c r="M333" s="52"/>
    </row>
    <row r="334" spans="1:14" outlineLevel="1">
      <c r="A334" s="3"/>
      <c r="B334" s="53" t="s">
        <v>181</v>
      </c>
      <c r="C334" s="56"/>
      <c r="D334" s="51">
        <v>1</v>
      </c>
      <c r="E334" s="69">
        <v>0.87</v>
      </c>
      <c r="F334" s="69"/>
      <c r="G334" s="69">
        <v>2.2000000000000002</v>
      </c>
      <c r="H334" s="69">
        <v>-2</v>
      </c>
      <c r="I334" s="69">
        <f t="shared" si="55"/>
        <v>-3.8280000000000003</v>
      </c>
      <c r="J334" s="69">
        <f t="shared" si="56"/>
        <v>-3.8280000000000003</v>
      </c>
      <c r="K334" s="2"/>
      <c r="M334" s="52"/>
    </row>
    <row r="335" spans="1:14" outlineLevel="1">
      <c r="A335" s="3"/>
      <c r="B335" s="53" t="s">
        <v>182</v>
      </c>
      <c r="C335" s="56"/>
      <c r="D335" s="51">
        <v>1</v>
      </c>
      <c r="E335" s="69">
        <v>0.77</v>
      </c>
      <c r="F335" s="69"/>
      <c r="G335" s="69">
        <v>2.2000000000000002</v>
      </c>
      <c r="H335" s="69">
        <v>-1</v>
      </c>
      <c r="I335" s="69">
        <f t="shared" si="55"/>
        <v>-1.6940000000000002</v>
      </c>
      <c r="J335" s="69">
        <f t="shared" si="56"/>
        <v>-1.6940000000000002</v>
      </c>
      <c r="K335" s="2"/>
      <c r="M335" s="52"/>
    </row>
    <row r="336" spans="1:14" outlineLevel="1">
      <c r="A336" s="3"/>
      <c r="B336" s="53" t="s">
        <v>183</v>
      </c>
      <c r="C336" s="56"/>
      <c r="D336" s="51">
        <v>1</v>
      </c>
      <c r="E336" s="69">
        <v>0.77</v>
      </c>
      <c r="F336" s="69"/>
      <c r="G336" s="69">
        <v>2.2000000000000002</v>
      </c>
      <c r="H336" s="69">
        <v>-1</v>
      </c>
      <c r="I336" s="69">
        <f t="shared" si="55"/>
        <v>-1.6940000000000002</v>
      </c>
      <c r="J336" s="69">
        <f t="shared" si="56"/>
        <v>-1.6940000000000002</v>
      </c>
      <c r="K336" s="2"/>
      <c r="M336" s="52"/>
    </row>
    <row r="337" spans="1:13" outlineLevel="1">
      <c r="A337" s="3"/>
      <c r="B337" s="53" t="s">
        <v>185</v>
      </c>
      <c r="C337" s="56"/>
      <c r="D337" s="51">
        <v>1</v>
      </c>
      <c r="E337" s="69">
        <v>1.1000000000000001</v>
      </c>
      <c r="F337" s="69"/>
      <c r="G337" s="69">
        <v>2.2000000000000002</v>
      </c>
      <c r="H337" s="69">
        <v>-1</v>
      </c>
      <c r="I337" s="69">
        <f t="shared" si="55"/>
        <v>-2.4200000000000004</v>
      </c>
      <c r="J337" s="69">
        <f t="shared" si="56"/>
        <v>-2.4200000000000004</v>
      </c>
      <c r="K337" s="2"/>
      <c r="M337" s="52"/>
    </row>
    <row r="338" spans="1:13" outlineLevel="1">
      <c r="A338" s="3"/>
      <c r="B338" s="53" t="s">
        <v>184</v>
      </c>
      <c r="C338" s="56"/>
      <c r="D338" s="51">
        <v>1</v>
      </c>
      <c r="E338" s="69">
        <v>2.1</v>
      </c>
      <c r="F338" s="69"/>
      <c r="G338" s="69">
        <v>2.2000000000000002</v>
      </c>
      <c r="H338" s="69">
        <v>-1</v>
      </c>
      <c r="I338" s="69">
        <f t="shared" si="55"/>
        <v>-4.620000000000001</v>
      </c>
      <c r="J338" s="69">
        <f t="shared" si="56"/>
        <v>-4.620000000000001</v>
      </c>
      <c r="K338" s="2"/>
      <c r="M338" s="52"/>
    </row>
    <row r="339" spans="1:13" ht="43.5" outlineLevel="1">
      <c r="A339" s="3"/>
      <c r="B339" s="32" t="s">
        <v>264</v>
      </c>
      <c r="C339" s="54" t="s">
        <v>12</v>
      </c>
      <c r="D339" s="3">
        <v>16</v>
      </c>
      <c r="E339" s="66"/>
      <c r="F339" s="66"/>
      <c r="G339" s="66"/>
      <c r="H339" s="66"/>
      <c r="I339" s="67">
        <f>+SUM(I340:I351)</f>
        <v>107.65424999999998</v>
      </c>
      <c r="J339" s="67">
        <f>+D339*I339</f>
        <v>1722.4679999999996</v>
      </c>
      <c r="K339" s="2"/>
      <c r="M339" s="52"/>
    </row>
    <row r="340" spans="1:13" outlineLevel="1">
      <c r="A340" s="3"/>
      <c r="B340" s="53" t="s">
        <v>177</v>
      </c>
      <c r="C340" s="56"/>
      <c r="D340" s="51">
        <v>1</v>
      </c>
      <c r="E340" s="69">
        <f>(3050+3000+3050)/1000</f>
        <v>9.1</v>
      </c>
      <c r="F340" s="69"/>
      <c r="G340" s="69">
        <v>2.65</v>
      </c>
      <c r="H340" s="69">
        <v>1</v>
      </c>
      <c r="I340" s="69">
        <f t="shared" ref="I340:I351" si="57">PRODUCT(E340:H340)</f>
        <v>24.114999999999998</v>
      </c>
      <c r="J340" s="69">
        <f t="shared" ref="J340:J363" si="58">I340*D340</f>
        <v>24.114999999999998</v>
      </c>
      <c r="K340" s="2" t="s">
        <v>198</v>
      </c>
      <c r="M340" s="52"/>
    </row>
    <row r="341" spans="1:13" outlineLevel="1">
      <c r="A341" s="3"/>
      <c r="B341" s="53" t="s">
        <v>181</v>
      </c>
      <c r="C341" s="56"/>
      <c r="D341" s="51">
        <v>1</v>
      </c>
      <c r="E341" s="69">
        <v>0.87</v>
      </c>
      <c r="F341" s="69"/>
      <c r="G341" s="69">
        <v>2.2000000000000002</v>
      </c>
      <c r="H341" s="69">
        <v>-1</v>
      </c>
      <c r="I341" s="69">
        <f t="shared" si="57"/>
        <v>-1.9140000000000001</v>
      </c>
      <c r="J341" s="69">
        <f t="shared" si="58"/>
        <v>-1.9140000000000001</v>
      </c>
      <c r="K341" s="2"/>
      <c r="M341" s="52"/>
    </row>
    <row r="342" spans="1:13" outlineLevel="1">
      <c r="A342" s="3"/>
      <c r="B342" s="53" t="s">
        <v>179</v>
      </c>
      <c r="C342" s="56"/>
      <c r="D342" s="51">
        <v>1</v>
      </c>
      <c r="E342" s="69">
        <f>(2770+2550+1450+1205+4320+1840)/1000</f>
        <v>14.135</v>
      </c>
      <c r="F342" s="69"/>
      <c r="G342" s="69">
        <v>2.65</v>
      </c>
      <c r="H342" s="69">
        <v>1</v>
      </c>
      <c r="I342" s="69">
        <f t="shared" si="57"/>
        <v>37.457749999999997</v>
      </c>
      <c r="J342" s="69">
        <f t="shared" si="58"/>
        <v>37.457749999999997</v>
      </c>
      <c r="K342" s="2"/>
      <c r="M342" s="52"/>
    </row>
    <row r="343" spans="1:13" outlineLevel="1">
      <c r="A343" s="3"/>
      <c r="B343" s="53" t="s">
        <v>181</v>
      </c>
      <c r="C343" s="56"/>
      <c r="D343" s="51">
        <v>1</v>
      </c>
      <c r="E343" s="69">
        <v>0.87</v>
      </c>
      <c r="F343" s="69"/>
      <c r="G343" s="69">
        <v>2.2000000000000002</v>
      </c>
      <c r="H343" s="69">
        <v>-1</v>
      </c>
      <c r="I343" s="69">
        <f t="shared" si="57"/>
        <v>-1.9140000000000001</v>
      </c>
      <c r="J343" s="69">
        <f t="shared" si="58"/>
        <v>-1.9140000000000001</v>
      </c>
      <c r="K343" s="2"/>
      <c r="M343" s="52"/>
    </row>
    <row r="344" spans="1:13" outlineLevel="1">
      <c r="A344" s="3"/>
      <c r="B344" s="53" t="s">
        <v>183</v>
      </c>
      <c r="C344" s="56"/>
      <c r="D344" s="51">
        <v>1</v>
      </c>
      <c r="E344" s="69">
        <v>0.77</v>
      </c>
      <c r="F344" s="69"/>
      <c r="G344" s="69">
        <v>2.2000000000000002</v>
      </c>
      <c r="H344" s="69">
        <v>-1</v>
      </c>
      <c r="I344" s="69">
        <f t="shared" si="57"/>
        <v>-1.6940000000000002</v>
      </c>
      <c r="J344" s="69">
        <f t="shared" si="58"/>
        <v>-1.6940000000000002</v>
      </c>
      <c r="K344" s="2"/>
      <c r="M344" s="52"/>
    </row>
    <row r="345" spans="1:13" outlineLevel="1">
      <c r="A345" s="3"/>
      <c r="B345" s="53" t="s">
        <v>187</v>
      </c>
      <c r="C345" s="56"/>
      <c r="D345" s="51">
        <v>1</v>
      </c>
      <c r="E345" s="69">
        <v>0.9</v>
      </c>
      <c r="F345" s="69"/>
      <c r="G345" s="69">
        <f>0.85*2</f>
        <v>1.7</v>
      </c>
      <c r="H345" s="69">
        <v>-1</v>
      </c>
      <c r="I345" s="69">
        <f t="shared" si="57"/>
        <v>-1.53</v>
      </c>
      <c r="J345" s="69">
        <f t="shared" si="58"/>
        <v>-1.53</v>
      </c>
      <c r="K345" s="2"/>
      <c r="M345" s="52"/>
    </row>
    <row r="346" spans="1:13" outlineLevel="1">
      <c r="A346" s="3"/>
      <c r="B346" s="53" t="s">
        <v>180</v>
      </c>
      <c r="C346" s="56"/>
      <c r="D346" s="51">
        <v>1</v>
      </c>
      <c r="E346" s="69">
        <f>(1330+3855+2840+950+3100+2150+2850+4255+1450+2650)/1000</f>
        <v>25.43</v>
      </c>
      <c r="F346" s="69"/>
      <c r="G346" s="69">
        <v>2.65</v>
      </c>
      <c r="H346" s="69">
        <v>1</v>
      </c>
      <c r="I346" s="69">
        <f t="shared" si="57"/>
        <v>67.389499999999998</v>
      </c>
      <c r="J346" s="69">
        <f t="shared" si="58"/>
        <v>67.389499999999998</v>
      </c>
      <c r="K346" s="2"/>
      <c r="M346" s="52"/>
    </row>
    <row r="347" spans="1:13" outlineLevel="1">
      <c r="A347" s="3"/>
      <c r="B347" s="53" t="s">
        <v>185</v>
      </c>
      <c r="C347" s="56"/>
      <c r="D347" s="51">
        <v>1</v>
      </c>
      <c r="E347" s="69">
        <v>1.1000000000000001</v>
      </c>
      <c r="F347" s="69"/>
      <c r="G347" s="69">
        <v>2.2000000000000002</v>
      </c>
      <c r="H347" s="69">
        <v>-1</v>
      </c>
      <c r="I347" s="69">
        <f t="shared" si="57"/>
        <v>-2.4200000000000004</v>
      </c>
      <c r="J347" s="69">
        <f t="shared" si="58"/>
        <v>-2.4200000000000004</v>
      </c>
      <c r="K347" s="2"/>
      <c r="M347" s="52"/>
    </row>
    <row r="348" spans="1:13" outlineLevel="1">
      <c r="A348" s="3"/>
      <c r="B348" s="53" t="s">
        <v>181</v>
      </c>
      <c r="C348" s="56"/>
      <c r="D348" s="51">
        <v>1</v>
      </c>
      <c r="E348" s="69">
        <v>0.87</v>
      </c>
      <c r="F348" s="69"/>
      <c r="G348" s="69">
        <v>2.2000000000000002</v>
      </c>
      <c r="H348" s="69">
        <v>-2</v>
      </c>
      <c r="I348" s="69">
        <f t="shared" si="57"/>
        <v>-3.8280000000000003</v>
      </c>
      <c r="J348" s="69">
        <f t="shared" si="58"/>
        <v>-3.8280000000000003</v>
      </c>
      <c r="K348" s="2"/>
      <c r="M348" s="52"/>
    </row>
    <row r="349" spans="1:13" outlineLevel="1">
      <c r="A349" s="3"/>
      <c r="B349" s="53" t="s">
        <v>188</v>
      </c>
      <c r="C349" s="56"/>
      <c r="D349" s="51">
        <v>1</v>
      </c>
      <c r="E349" s="69">
        <v>0.77</v>
      </c>
      <c r="F349" s="69"/>
      <c r="G349" s="69">
        <v>2.2000000000000002</v>
      </c>
      <c r="H349" s="69">
        <v>-1</v>
      </c>
      <c r="I349" s="69">
        <f t="shared" si="57"/>
        <v>-1.6940000000000002</v>
      </c>
      <c r="J349" s="69">
        <f t="shared" si="58"/>
        <v>-1.6940000000000002</v>
      </c>
      <c r="K349" s="2"/>
      <c r="M349" s="52"/>
    </row>
    <row r="350" spans="1:13" outlineLevel="1">
      <c r="A350" s="3"/>
      <c r="B350" s="53" t="s">
        <v>184</v>
      </c>
      <c r="C350" s="56"/>
      <c r="D350" s="51">
        <v>1</v>
      </c>
      <c r="E350" s="69">
        <v>2.1</v>
      </c>
      <c r="F350" s="69"/>
      <c r="G350" s="69">
        <v>2.2000000000000002</v>
      </c>
      <c r="H350" s="69">
        <v>-1</v>
      </c>
      <c r="I350" s="69">
        <f t="shared" si="57"/>
        <v>-4.620000000000001</v>
      </c>
      <c r="J350" s="69">
        <f t="shared" si="58"/>
        <v>-4.620000000000001</v>
      </c>
      <c r="K350" s="2"/>
      <c r="M350" s="52"/>
    </row>
    <row r="351" spans="1:13" outlineLevel="1">
      <c r="A351" s="3"/>
      <c r="B351" s="53" t="s">
        <v>183</v>
      </c>
      <c r="C351" s="56"/>
      <c r="D351" s="51">
        <v>1</v>
      </c>
      <c r="E351" s="69">
        <v>0.77</v>
      </c>
      <c r="F351" s="69"/>
      <c r="G351" s="69">
        <v>2.2000000000000002</v>
      </c>
      <c r="H351" s="69">
        <v>-1</v>
      </c>
      <c r="I351" s="69">
        <f t="shared" si="57"/>
        <v>-1.6940000000000002</v>
      </c>
      <c r="J351" s="69">
        <f t="shared" si="58"/>
        <v>-1.6940000000000002</v>
      </c>
      <c r="K351" s="2"/>
      <c r="M351" s="52"/>
    </row>
    <row r="352" spans="1:13" outlineLevel="1">
      <c r="A352" s="3"/>
      <c r="B352" s="32" t="s">
        <v>191</v>
      </c>
      <c r="C352" s="54" t="s">
        <v>12</v>
      </c>
      <c r="D352" s="3">
        <v>2</v>
      </c>
      <c r="E352" s="66"/>
      <c r="F352" s="66"/>
      <c r="G352" s="66"/>
      <c r="H352" s="66"/>
      <c r="I352" s="67">
        <f>+SUM(I353:I363)</f>
        <v>110.19349999999997</v>
      </c>
      <c r="J352" s="67">
        <f t="shared" si="58"/>
        <v>220.38699999999994</v>
      </c>
      <c r="K352" s="2" t="s">
        <v>200</v>
      </c>
      <c r="M352" s="52"/>
    </row>
    <row r="353" spans="1:13" outlineLevel="1">
      <c r="A353" s="2"/>
      <c r="B353" s="62" t="s">
        <v>177</v>
      </c>
      <c r="C353" s="55"/>
      <c r="D353" s="2">
        <v>1</v>
      </c>
      <c r="E353" s="70">
        <f>(3355+2000+1045+1070+4850)/1000</f>
        <v>12.32</v>
      </c>
      <c r="F353" s="70"/>
      <c r="G353" s="70">
        <v>2.65</v>
      </c>
      <c r="H353" s="70">
        <v>1</v>
      </c>
      <c r="I353" s="69">
        <f t="shared" ref="I353:I363" si="59">PRODUCT(E353:H353)</f>
        <v>32.647999999999996</v>
      </c>
      <c r="J353" s="69">
        <f t="shared" si="58"/>
        <v>32.647999999999996</v>
      </c>
      <c r="K353" s="2"/>
      <c r="M353" s="52"/>
    </row>
    <row r="354" spans="1:13" outlineLevel="1">
      <c r="A354" s="3"/>
      <c r="B354" s="53" t="s">
        <v>181</v>
      </c>
      <c r="C354" s="56"/>
      <c r="D354" s="51">
        <v>1</v>
      </c>
      <c r="E354" s="69">
        <v>0.87</v>
      </c>
      <c r="F354" s="69"/>
      <c r="G354" s="69">
        <v>2.2000000000000002</v>
      </c>
      <c r="H354" s="69">
        <v>-1</v>
      </c>
      <c r="I354" s="69">
        <f t="shared" si="59"/>
        <v>-1.9140000000000001</v>
      </c>
      <c r="J354" s="69">
        <f t="shared" si="58"/>
        <v>-1.9140000000000001</v>
      </c>
      <c r="K354" s="2"/>
      <c r="M354" s="52"/>
    </row>
    <row r="355" spans="1:13" outlineLevel="1">
      <c r="A355" s="3"/>
      <c r="B355" s="53" t="s">
        <v>183</v>
      </c>
      <c r="C355" s="56"/>
      <c r="D355" s="51">
        <v>1</v>
      </c>
      <c r="E355" s="69">
        <v>0.77</v>
      </c>
      <c r="F355" s="69"/>
      <c r="G355" s="69">
        <v>2.2000000000000002</v>
      </c>
      <c r="H355" s="69">
        <v>-1</v>
      </c>
      <c r="I355" s="69">
        <f t="shared" si="59"/>
        <v>-1.6940000000000002</v>
      </c>
      <c r="J355" s="69">
        <f t="shared" si="58"/>
        <v>-1.6940000000000002</v>
      </c>
      <c r="K355" s="2"/>
      <c r="M355" s="52"/>
    </row>
    <row r="356" spans="1:13" outlineLevel="1">
      <c r="A356" s="2"/>
      <c r="B356" s="62" t="s">
        <v>179</v>
      </c>
      <c r="C356" s="55"/>
      <c r="D356" s="2">
        <v>1</v>
      </c>
      <c r="E356" s="70">
        <f>(4005+2830+4005+2830)/1000</f>
        <v>13.67</v>
      </c>
      <c r="F356" s="70"/>
      <c r="G356" s="70">
        <v>2.65</v>
      </c>
      <c r="H356" s="70">
        <v>1</v>
      </c>
      <c r="I356" s="69">
        <f t="shared" si="59"/>
        <v>36.225499999999997</v>
      </c>
      <c r="J356" s="69">
        <f t="shared" si="58"/>
        <v>36.225499999999997</v>
      </c>
      <c r="K356" s="2"/>
      <c r="M356" s="52"/>
    </row>
    <row r="357" spans="1:13" outlineLevel="1">
      <c r="A357" s="3"/>
      <c r="B357" s="53" t="s">
        <v>181</v>
      </c>
      <c r="C357" s="56"/>
      <c r="D357" s="51">
        <v>1</v>
      </c>
      <c r="E357" s="69">
        <v>0.87</v>
      </c>
      <c r="F357" s="69"/>
      <c r="G357" s="69">
        <v>2.2000000000000002</v>
      </c>
      <c r="H357" s="69">
        <v>-1</v>
      </c>
      <c r="I357" s="69">
        <f t="shared" si="59"/>
        <v>-1.9140000000000001</v>
      </c>
      <c r="J357" s="69">
        <f t="shared" si="58"/>
        <v>-1.9140000000000001</v>
      </c>
      <c r="K357" s="2"/>
      <c r="M357" s="52"/>
    </row>
    <row r="358" spans="1:13" outlineLevel="1">
      <c r="A358" s="3"/>
      <c r="B358" s="53" t="s">
        <v>184</v>
      </c>
      <c r="C358" s="56"/>
      <c r="D358" s="51">
        <v>1</v>
      </c>
      <c r="E358" s="69">
        <v>2.1</v>
      </c>
      <c r="F358" s="69"/>
      <c r="G358" s="69">
        <v>2.2000000000000002</v>
      </c>
      <c r="H358" s="69">
        <v>-1</v>
      </c>
      <c r="I358" s="69">
        <f t="shared" si="59"/>
        <v>-4.620000000000001</v>
      </c>
      <c r="J358" s="69">
        <f t="shared" si="58"/>
        <v>-4.620000000000001</v>
      </c>
      <c r="K358" s="2"/>
      <c r="M358" s="52"/>
    </row>
    <row r="359" spans="1:13" outlineLevel="1">
      <c r="A359" s="2"/>
      <c r="B359" s="62" t="s">
        <v>180</v>
      </c>
      <c r="C359" s="55"/>
      <c r="D359" s="2">
        <v>1</v>
      </c>
      <c r="E359" s="70">
        <f>(5980+1450+1170+955+1170+3950+3050+4105+2330)/1000</f>
        <v>24.16</v>
      </c>
      <c r="F359" s="70"/>
      <c r="G359" s="70">
        <v>2.65</v>
      </c>
      <c r="H359" s="70">
        <v>1</v>
      </c>
      <c r="I359" s="69">
        <f t="shared" si="59"/>
        <v>64.024000000000001</v>
      </c>
      <c r="J359" s="69">
        <f t="shared" si="58"/>
        <v>64.024000000000001</v>
      </c>
      <c r="K359" s="2"/>
      <c r="M359" s="52"/>
    </row>
    <row r="360" spans="1:13" outlineLevel="1">
      <c r="A360" s="3"/>
      <c r="B360" s="53" t="s">
        <v>185</v>
      </c>
      <c r="C360" s="56"/>
      <c r="D360" s="51">
        <v>1</v>
      </c>
      <c r="E360" s="69">
        <v>1.1000000000000001</v>
      </c>
      <c r="F360" s="69"/>
      <c r="G360" s="69">
        <v>2.2000000000000002</v>
      </c>
      <c r="H360" s="69">
        <v>-1</v>
      </c>
      <c r="I360" s="69">
        <f t="shared" si="59"/>
        <v>-2.4200000000000004</v>
      </c>
      <c r="J360" s="69">
        <f t="shared" si="58"/>
        <v>-2.4200000000000004</v>
      </c>
      <c r="K360" s="2"/>
      <c r="M360" s="52"/>
    </row>
    <row r="361" spans="1:13" outlineLevel="1">
      <c r="A361" s="3"/>
      <c r="B361" s="53" t="s">
        <v>181</v>
      </c>
      <c r="C361" s="56"/>
      <c r="D361" s="51">
        <v>1</v>
      </c>
      <c r="E361" s="69">
        <v>0.87</v>
      </c>
      <c r="F361" s="69"/>
      <c r="G361" s="69">
        <v>2.2000000000000002</v>
      </c>
      <c r="H361" s="69">
        <v>-2</v>
      </c>
      <c r="I361" s="69">
        <f t="shared" si="59"/>
        <v>-3.8280000000000003</v>
      </c>
      <c r="J361" s="69">
        <f t="shared" si="58"/>
        <v>-3.8280000000000003</v>
      </c>
      <c r="K361" s="2"/>
      <c r="M361" s="52"/>
    </row>
    <row r="362" spans="1:13" outlineLevel="1">
      <c r="A362" s="3"/>
      <c r="B362" s="53" t="s">
        <v>183</v>
      </c>
      <c r="C362" s="56"/>
      <c r="D362" s="51">
        <v>1</v>
      </c>
      <c r="E362" s="69">
        <v>0.77</v>
      </c>
      <c r="F362" s="69"/>
      <c r="G362" s="69">
        <v>2.2000000000000002</v>
      </c>
      <c r="H362" s="69">
        <v>-1</v>
      </c>
      <c r="I362" s="69">
        <f t="shared" si="59"/>
        <v>-1.6940000000000002</v>
      </c>
      <c r="J362" s="69">
        <f t="shared" si="58"/>
        <v>-1.6940000000000002</v>
      </c>
      <c r="K362" s="2"/>
      <c r="M362" s="52"/>
    </row>
    <row r="363" spans="1:13" outlineLevel="1">
      <c r="A363" s="3"/>
      <c r="B363" s="53" t="s">
        <v>184</v>
      </c>
      <c r="C363" s="56"/>
      <c r="D363" s="51">
        <v>1</v>
      </c>
      <c r="E363" s="69">
        <v>2.1</v>
      </c>
      <c r="F363" s="69"/>
      <c r="G363" s="69">
        <v>2.2000000000000002</v>
      </c>
      <c r="H363" s="69">
        <v>-1</v>
      </c>
      <c r="I363" s="69">
        <f t="shared" si="59"/>
        <v>-4.620000000000001</v>
      </c>
      <c r="J363" s="69">
        <f t="shared" si="58"/>
        <v>-4.620000000000001</v>
      </c>
      <c r="K363" s="2"/>
      <c r="M363" s="52"/>
    </row>
    <row r="364" spans="1:13" outlineLevel="1">
      <c r="A364" s="3"/>
      <c r="B364" s="32" t="s">
        <v>194</v>
      </c>
      <c r="C364" s="54"/>
      <c r="D364" s="3">
        <v>2</v>
      </c>
      <c r="E364" s="66"/>
      <c r="F364" s="66"/>
      <c r="G364" s="66"/>
      <c r="H364" s="66"/>
      <c r="I364" s="67">
        <f>+SUM(I365:I374)</f>
        <v>84.031349999999975</v>
      </c>
      <c r="J364" s="67">
        <f>+D364*I364</f>
        <v>168.06269999999995</v>
      </c>
      <c r="K364" s="2"/>
      <c r="M364" s="52"/>
    </row>
    <row r="365" spans="1:13" outlineLevel="1">
      <c r="A365" s="3"/>
      <c r="B365" s="53" t="s">
        <v>177</v>
      </c>
      <c r="C365" s="56"/>
      <c r="D365" s="51">
        <v>1</v>
      </c>
      <c r="E365" s="69">
        <f>(3897+975+897+100+550+2075)/1000</f>
        <v>8.4939999999999998</v>
      </c>
      <c r="F365" s="69"/>
      <c r="G365" s="69">
        <v>2.65</v>
      </c>
      <c r="H365" s="69">
        <v>1</v>
      </c>
      <c r="I365" s="69">
        <f t="shared" ref="I365:I374" si="60">PRODUCT(E365:H365)</f>
        <v>22.5091</v>
      </c>
      <c r="J365" s="69">
        <f t="shared" ref="J365:J418" si="61">I365*D365</f>
        <v>22.5091</v>
      </c>
      <c r="K365" s="2" t="s">
        <v>199</v>
      </c>
      <c r="M365" s="52"/>
    </row>
    <row r="366" spans="1:13" outlineLevel="1">
      <c r="A366" s="3"/>
      <c r="B366" s="53" t="s">
        <v>181</v>
      </c>
      <c r="C366" s="56"/>
      <c r="D366" s="51">
        <v>1</v>
      </c>
      <c r="E366" s="69">
        <v>0.87</v>
      </c>
      <c r="F366" s="69"/>
      <c r="G366" s="69">
        <v>2.2000000000000002</v>
      </c>
      <c r="H366" s="69">
        <v>-1</v>
      </c>
      <c r="I366" s="69">
        <f t="shared" si="60"/>
        <v>-1.9140000000000001</v>
      </c>
      <c r="J366" s="69">
        <f t="shared" si="61"/>
        <v>-1.9140000000000001</v>
      </c>
      <c r="K366" s="2"/>
      <c r="M366" s="52"/>
    </row>
    <row r="367" spans="1:13" outlineLevel="1">
      <c r="A367" s="3"/>
      <c r="B367" s="53" t="s">
        <v>179</v>
      </c>
      <c r="C367" s="56"/>
      <c r="D367" s="51">
        <v>1</v>
      </c>
      <c r="E367" s="69">
        <f>(3000+3355+975+750+2175)/1000</f>
        <v>10.255000000000001</v>
      </c>
      <c r="F367" s="69"/>
      <c r="G367" s="69">
        <v>2.65</v>
      </c>
      <c r="H367" s="69">
        <v>1</v>
      </c>
      <c r="I367" s="69">
        <f t="shared" si="60"/>
        <v>27.175750000000001</v>
      </c>
      <c r="J367" s="69">
        <f t="shared" si="61"/>
        <v>27.175750000000001</v>
      </c>
      <c r="K367" s="2"/>
      <c r="M367" s="52"/>
    </row>
    <row r="368" spans="1:13" outlineLevel="1">
      <c r="A368" s="3"/>
      <c r="B368" s="53" t="s">
        <v>181</v>
      </c>
      <c r="C368" s="56"/>
      <c r="D368" s="51">
        <v>1</v>
      </c>
      <c r="E368" s="69">
        <v>0.87</v>
      </c>
      <c r="F368" s="69"/>
      <c r="G368" s="69">
        <v>2.2000000000000002</v>
      </c>
      <c r="H368" s="69">
        <v>-1</v>
      </c>
      <c r="I368" s="69">
        <f t="shared" si="60"/>
        <v>-1.9140000000000001</v>
      </c>
      <c r="J368" s="69">
        <f t="shared" si="61"/>
        <v>-1.9140000000000001</v>
      </c>
      <c r="K368" s="2"/>
      <c r="M368" s="52"/>
    </row>
    <row r="369" spans="1:13" outlineLevel="1">
      <c r="A369" s="3"/>
      <c r="B369" s="53" t="s">
        <v>186</v>
      </c>
      <c r="C369" s="56"/>
      <c r="D369" s="51">
        <v>1</v>
      </c>
      <c r="E369" s="69">
        <v>1.2</v>
      </c>
      <c r="F369" s="69"/>
      <c r="G369" s="69">
        <v>1.5</v>
      </c>
      <c r="H369" s="69">
        <v>-1</v>
      </c>
      <c r="I369" s="69">
        <f t="shared" si="60"/>
        <v>-1.7999999999999998</v>
      </c>
      <c r="J369" s="69">
        <f t="shared" si="61"/>
        <v>-1.7999999999999998</v>
      </c>
      <c r="K369" s="2"/>
      <c r="M369" s="52"/>
    </row>
    <row r="370" spans="1:13" outlineLevel="1">
      <c r="A370" s="3"/>
      <c r="B370" s="53" t="s">
        <v>180</v>
      </c>
      <c r="C370" s="56"/>
      <c r="D370" s="51">
        <v>1</v>
      </c>
      <c r="E370" s="69">
        <f>(2505+3455+1075+1103+1075+2697+2950+4990)/1000</f>
        <v>19.850000000000001</v>
      </c>
      <c r="F370" s="69"/>
      <c r="G370" s="69">
        <v>2.65</v>
      </c>
      <c r="H370" s="69">
        <v>1</v>
      </c>
      <c r="I370" s="69">
        <f t="shared" si="60"/>
        <v>52.602499999999999</v>
      </c>
      <c r="J370" s="69">
        <f t="shared" si="61"/>
        <v>52.602499999999999</v>
      </c>
      <c r="K370" s="2"/>
      <c r="M370" s="52"/>
    </row>
    <row r="371" spans="1:13" outlineLevel="1">
      <c r="A371" s="3"/>
      <c r="B371" s="53" t="s">
        <v>185</v>
      </c>
      <c r="C371" s="56"/>
      <c r="D371" s="51">
        <v>1</v>
      </c>
      <c r="E371" s="69">
        <v>1.1000000000000001</v>
      </c>
      <c r="F371" s="69"/>
      <c r="G371" s="69">
        <v>2.2000000000000002</v>
      </c>
      <c r="H371" s="69">
        <v>-1</v>
      </c>
      <c r="I371" s="69">
        <f t="shared" si="60"/>
        <v>-2.4200000000000004</v>
      </c>
      <c r="J371" s="69">
        <f t="shared" si="61"/>
        <v>-2.4200000000000004</v>
      </c>
      <c r="K371" s="2"/>
      <c r="M371" s="52"/>
    </row>
    <row r="372" spans="1:13" outlineLevel="1">
      <c r="A372" s="3"/>
      <c r="B372" s="53" t="s">
        <v>181</v>
      </c>
      <c r="C372" s="56"/>
      <c r="D372" s="51">
        <v>1</v>
      </c>
      <c r="E372" s="69">
        <v>0.87</v>
      </c>
      <c r="F372" s="69"/>
      <c r="G372" s="69">
        <v>2.2000000000000002</v>
      </c>
      <c r="H372" s="69">
        <v>-2</v>
      </c>
      <c r="I372" s="69">
        <f t="shared" si="60"/>
        <v>-3.8280000000000003</v>
      </c>
      <c r="J372" s="69">
        <f t="shared" si="61"/>
        <v>-3.8280000000000003</v>
      </c>
      <c r="K372" s="2"/>
      <c r="M372" s="52"/>
    </row>
    <row r="373" spans="1:13" outlineLevel="1">
      <c r="A373" s="3"/>
      <c r="B373" s="53" t="s">
        <v>184</v>
      </c>
      <c r="C373" s="56"/>
      <c r="D373" s="51">
        <v>1</v>
      </c>
      <c r="E373" s="69">
        <v>2.1</v>
      </c>
      <c r="F373" s="69"/>
      <c r="G373" s="69">
        <v>2.2000000000000002</v>
      </c>
      <c r="H373" s="69">
        <v>-1</v>
      </c>
      <c r="I373" s="69">
        <f t="shared" si="60"/>
        <v>-4.620000000000001</v>
      </c>
      <c r="J373" s="69">
        <f t="shared" si="61"/>
        <v>-4.620000000000001</v>
      </c>
      <c r="K373" s="2"/>
      <c r="M373" s="52"/>
    </row>
    <row r="374" spans="1:13" outlineLevel="1">
      <c r="A374" s="3"/>
      <c r="B374" s="53" t="s">
        <v>189</v>
      </c>
      <c r="C374" s="56"/>
      <c r="D374" s="51">
        <v>1</v>
      </c>
      <c r="E374" s="69">
        <v>0.8</v>
      </c>
      <c r="F374" s="69"/>
      <c r="G374" s="69">
        <v>2.2000000000000002</v>
      </c>
      <c r="H374" s="69">
        <v>-1</v>
      </c>
      <c r="I374" s="69">
        <f t="shared" si="60"/>
        <v>-1.7600000000000002</v>
      </c>
      <c r="J374" s="69">
        <f t="shared" si="61"/>
        <v>-1.7600000000000002</v>
      </c>
      <c r="K374" s="2"/>
      <c r="M374" s="52"/>
    </row>
    <row r="375" spans="1:13" outlineLevel="1">
      <c r="A375" s="3"/>
      <c r="B375" s="32" t="s">
        <v>195</v>
      </c>
      <c r="C375" s="54"/>
      <c r="D375" s="3">
        <v>2</v>
      </c>
      <c r="E375" s="66"/>
      <c r="F375" s="66"/>
      <c r="G375" s="66"/>
      <c r="H375" s="66"/>
      <c r="I375" s="67">
        <f>+SUM(I376:I382)</f>
        <v>70.409749999999988</v>
      </c>
      <c r="J375" s="67">
        <f t="shared" si="61"/>
        <v>140.81949999999998</v>
      </c>
      <c r="K375" s="2" t="s">
        <v>203</v>
      </c>
      <c r="M375" s="52"/>
    </row>
    <row r="376" spans="1:13" outlineLevel="1">
      <c r="A376" s="2"/>
      <c r="B376" s="62" t="s">
        <v>177</v>
      </c>
      <c r="C376" s="55"/>
      <c r="D376" s="2"/>
      <c r="E376" s="70">
        <f>(3150+4250)/1000</f>
        <v>7.4</v>
      </c>
      <c r="F376" s="70"/>
      <c r="G376" s="70">
        <v>2.65</v>
      </c>
      <c r="H376" s="70">
        <v>1</v>
      </c>
      <c r="I376" s="69">
        <f t="shared" ref="I376:I382" si="62">PRODUCT(E376:H376)</f>
        <v>19.61</v>
      </c>
      <c r="J376" s="69">
        <f t="shared" si="61"/>
        <v>0</v>
      </c>
      <c r="K376" s="2"/>
      <c r="M376" s="52"/>
    </row>
    <row r="377" spans="1:13" outlineLevel="1">
      <c r="A377" s="3"/>
      <c r="B377" s="53" t="s">
        <v>181</v>
      </c>
      <c r="C377" s="56"/>
      <c r="D377" s="51">
        <v>1</v>
      </c>
      <c r="E377" s="69">
        <v>0.87</v>
      </c>
      <c r="F377" s="69"/>
      <c r="G377" s="69">
        <v>2.2000000000000002</v>
      </c>
      <c r="H377" s="69">
        <v>-1</v>
      </c>
      <c r="I377" s="69">
        <f t="shared" si="62"/>
        <v>-1.9140000000000001</v>
      </c>
      <c r="J377" s="69">
        <f t="shared" si="61"/>
        <v>-1.9140000000000001</v>
      </c>
      <c r="K377" s="2"/>
      <c r="M377" s="52"/>
    </row>
    <row r="378" spans="1:13" outlineLevel="1">
      <c r="A378" s="2"/>
      <c r="B378" s="62" t="s">
        <v>180</v>
      </c>
      <c r="C378" s="55"/>
      <c r="D378" s="2">
        <v>1</v>
      </c>
      <c r="E378" s="70">
        <f>(3215+850+265+1615+1400+550+1700+3250+3150+2950+4990)/1000</f>
        <v>23.934999999999999</v>
      </c>
      <c r="F378" s="70"/>
      <c r="G378" s="70">
        <v>2.65</v>
      </c>
      <c r="H378" s="70">
        <v>1</v>
      </c>
      <c r="I378" s="69">
        <f t="shared" si="62"/>
        <v>63.427749999999996</v>
      </c>
      <c r="J378" s="69">
        <f t="shared" si="61"/>
        <v>63.427749999999996</v>
      </c>
      <c r="K378" s="2"/>
      <c r="M378" s="52"/>
    </row>
    <row r="379" spans="1:13" outlineLevel="1">
      <c r="A379" s="3"/>
      <c r="B379" s="53" t="s">
        <v>185</v>
      </c>
      <c r="C379" s="56"/>
      <c r="D379" s="51">
        <v>1</v>
      </c>
      <c r="E379" s="69">
        <v>1.1000000000000001</v>
      </c>
      <c r="F379" s="69"/>
      <c r="G379" s="69">
        <v>2.2000000000000002</v>
      </c>
      <c r="H379" s="69">
        <v>-1</v>
      </c>
      <c r="I379" s="69">
        <f t="shared" si="62"/>
        <v>-2.4200000000000004</v>
      </c>
      <c r="J379" s="69">
        <f t="shared" si="61"/>
        <v>-2.4200000000000004</v>
      </c>
      <c r="K379" s="2"/>
      <c r="M379" s="52"/>
    </row>
    <row r="380" spans="1:13" outlineLevel="1">
      <c r="A380" s="3"/>
      <c r="B380" s="53" t="s">
        <v>181</v>
      </c>
      <c r="C380" s="56"/>
      <c r="D380" s="51">
        <v>1</v>
      </c>
      <c r="E380" s="69">
        <v>0.87</v>
      </c>
      <c r="F380" s="69"/>
      <c r="G380" s="69">
        <v>2.2000000000000002</v>
      </c>
      <c r="H380" s="69">
        <v>-1</v>
      </c>
      <c r="I380" s="69">
        <f t="shared" si="62"/>
        <v>-1.9140000000000001</v>
      </c>
      <c r="J380" s="69">
        <f t="shared" si="61"/>
        <v>-1.9140000000000001</v>
      </c>
      <c r="K380" s="2"/>
      <c r="M380" s="52"/>
    </row>
    <row r="381" spans="1:13" outlineLevel="1">
      <c r="A381" s="3"/>
      <c r="B381" s="53" t="s">
        <v>189</v>
      </c>
      <c r="C381" s="56"/>
      <c r="D381" s="51">
        <v>1</v>
      </c>
      <c r="E381" s="69">
        <v>0.8</v>
      </c>
      <c r="F381" s="69"/>
      <c r="G381" s="69">
        <v>2.2000000000000002</v>
      </c>
      <c r="H381" s="69">
        <v>-1</v>
      </c>
      <c r="I381" s="69">
        <f t="shared" si="62"/>
        <v>-1.7600000000000002</v>
      </c>
      <c r="J381" s="69">
        <f t="shared" si="61"/>
        <v>-1.7600000000000002</v>
      </c>
      <c r="K381" s="2"/>
      <c r="M381" s="52"/>
    </row>
    <row r="382" spans="1:13" outlineLevel="1">
      <c r="A382" s="3"/>
      <c r="B382" s="53" t="s">
        <v>184</v>
      </c>
      <c r="C382" s="56"/>
      <c r="D382" s="51">
        <v>1</v>
      </c>
      <c r="E382" s="69">
        <v>2.1</v>
      </c>
      <c r="F382" s="69"/>
      <c r="G382" s="69">
        <v>2.2000000000000002</v>
      </c>
      <c r="H382" s="69">
        <v>-1</v>
      </c>
      <c r="I382" s="69">
        <f t="shared" si="62"/>
        <v>-4.620000000000001</v>
      </c>
      <c r="J382" s="69">
        <f t="shared" si="61"/>
        <v>-4.620000000000001</v>
      </c>
      <c r="K382" s="2"/>
      <c r="M382" s="52"/>
    </row>
    <row r="383" spans="1:13" outlineLevel="1">
      <c r="A383" s="3"/>
      <c r="B383" s="32" t="s">
        <v>196</v>
      </c>
      <c r="C383" s="54"/>
      <c r="D383" s="3">
        <v>2</v>
      </c>
      <c r="E383" s="66"/>
      <c r="F383" s="66"/>
      <c r="G383" s="66"/>
      <c r="H383" s="66"/>
      <c r="I383" s="67">
        <f>+SUM(I384:I394)</f>
        <v>125.00474999999999</v>
      </c>
      <c r="J383" s="67">
        <f t="shared" si="61"/>
        <v>250.00949999999997</v>
      </c>
      <c r="K383" s="2" t="s">
        <v>204</v>
      </c>
      <c r="M383" s="52"/>
    </row>
    <row r="384" spans="1:13" outlineLevel="1">
      <c r="A384" s="2"/>
      <c r="B384" s="62" t="s">
        <v>177</v>
      </c>
      <c r="C384" s="55"/>
      <c r="D384" s="2">
        <v>1</v>
      </c>
      <c r="E384" s="70">
        <f>(4300+900+1000+1900+3050)/1000</f>
        <v>11.15</v>
      </c>
      <c r="F384" s="70"/>
      <c r="G384" s="70">
        <v>2.65</v>
      </c>
      <c r="H384" s="70">
        <v>1</v>
      </c>
      <c r="I384" s="69">
        <f t="shared" ref="I384:I394" si="63">PRODUCT(E384:H384)</f>
        <v>29.547499999999999</v>
      </c>
      <c r="J384" s="69">
        <f t="shared" si="61"/>
        <v>29.547499999999999</v>
      </c>
      <c r="K384" s="2"/>
      <c r="M384" s="52"/>
    </row>
    <row r="385" spans="1:13" outlineLevel="1">
      <c r="A385" s="2"/>
      <c r="B385" s="53" t="s">
        <v>181</v>
      </c>
      <c r="C385" s="56"/>
      <c r="D385" s="51">
        <v>1</v>
      </c>
      <c r="E385" s="69">
        <v>0.87</v>
      </c>
      <c r="F385" s="69"/>
      <c r="G385" s="69">
        <v>2.2000000000000002</v>
      </c>
      <c r="H385" s="69">
        <v>-1</v>
      </c>
      <c r="I385" s="69">
        <f t="shared" si="63"/>
        <v>-1.9140000000000001</v>
      </c>
      <c r="J385" s="69">
        <f t="shared" si="61"/>
        <v>-1.9140000000000001</v>
      </c>
      <c r="K385" s="2"/>
      <c r="M385" s="52"/>
    </row>
    <row r="386" spans="1:13" outlineLevel="1">
      <c r="A386" s="2"/>
      <c r="B386" s="53" t="s">
        <v>183</v>
      </c>
      <c r="C386" s="56"/>
      <c r="D386" s="51">
        <v>1</v>
      </c>
      <c r="E386" s="69">
        <v>0.77</v>
      </c>
      <c r="F386" s="69"/>
      <c r="G386" s="69">
        <v>2.2000000000000002</v>
      </c>
      <c r="H386" s="69">
        <v>-1</v>
      </c>
      <c r="I386" s="69">
        <f t="shared" si="63"/>
        <v>-1.6940000000000002</v>
      </c>
      <c r="J386" s="69">
        <f t="shared" si="61"/>
        <v>-1.6940000000000002</v>
      </c>
      <c r="K386" s="2"/>
      <c r="M386" s="52"/>
    </row>
    <row r="387" spans="1:13" outlineLevel="1">
      <c r="A387" s="2"/>
      <c r="B387" s="62" t="s">
        <v>179</v>
      </c>
      <c r="C387" s="55"/>
      <c r="D387" s="2">
        <v>1</v>
      </c>
      <c r="E387" s="70">
        <f>(2950+3050+2960)/1000</f>
        <v>8.9600000000000009</v>
      </c>
      <c r="F387" s="70"/>
      <c r="G387" s="70">
        <v>2.65</v>
      </c>
      <c r="H387" s="70">
        <v>1</v>
      </c>
      <c r="I387" s="69">
        <f t="shared" si="63"/>
        <v>23.744</v>
      </c>
      <c r="J387" s="69">
        <f t="shared" si="61"/>
        <v>23.744</v>
      </c>
      <c r="K387" s="2"/>
      <c r="M387" s="52"/>
    </row>
    <row r="388" spans="1:13" outlineLevel="1">
      <c r="A388" s="2"/>
      <c r="B388" s="53" t="s">
        <v>181</v>
      </c>
      <c r="C388" s="56"/>
      <c r="D388" s="51">
        <v>1</v>
      </c>
      <c r="E388" s="69">
        <v>0.87</v>
      </c>
      <c r="F388" s="69"/>
      <c r="G388" s="69">
        <v>2.2000000000000002</v>
      </c>
      <c r="H388" s="69">
        <v>-1</v>
      </c>
      <c r="I388" s="69">
        <f t="shared" si="63"/>
        <v>-1.9140000000000001</v>
      </c>
      <c r="J388" s="69">
        <f t="shared" si="61"/>
        <v>-1.9140000000000001</v>
      </c>
      <c r="K388" s="2"/>
      <c r="M388" s="52"/>
    </row>
    <row r="389" spans="1:13" outlineLevel="1">
      <c r="A389" s="2"/>
      <c r="B389" s="62" t="s">
        <v>180</v>
      </c>
      <c r="C389" s="55"/>
      <c r="D389" s="2">
        <v>1</v>
      </c>
      <c r="E389" s="70">
        <f>(6915+4300+1150+100+1050+3050+1950+3150+2050+3000+3400+1000+900+1055+1455)/1000</f>
        <v>34.524999999999999</v>
      </c>
      <c r="F389" s="70"/>
      <c r="G389" s="70">
        <v>2.65</v>
      </c>
      <c r="H389" s="70">
        <v>1</v>
      </c>
      <c r="I389" s="69">
        <f t="shared" si="63"/>
        <v>91.491249999999994</v>
      </c>
      <c r="J389" s="69">
        <f t="shared" si="61"/>
        <v>91.491249999999994</v>
      </c>
      <c r="K389" s="2"/>
      <c r="M389" s="52"/>
    </row>
    <row r="390" spans="1:13" outlineLevel="1">
      <c r="A390" s="3"/>
      <c r="B390" s="53" t="s">
        <v>185</v>
      </c>
      <c r="C390" s="56"/>
      <c r="D390" s="51">
        <v>1</v>
      </c>
      <c r="E390" s="69">
        <v>1.1000000000000001</v>
      </c>
      <c r="F390" s="69"/>
      <c r="G390" s="69">
        <v>2.2000000000000002</v>
      </c>
      <c r="H390" s="69">
        <v>-1</v>
      </c>
      <c r="I390" s="69">
        <f t="shared" si="63"/>
        <v>-2.4200000000000004</v>
      </c>
      <c r="J390" s="69">
        <f t="shared" si="61"/>
        <v>-2.4200000000000004</v>
      </c>
      <c r="K390" s="2"/>
      <c r="M390" s="52"/>
    </row>
    <row r="391" spans="1:13" outlineLevel="1">
      <c r="A391" s="3"/>
      <c r="B391" s="53" t="s">
        <v>188</v>
      </c>
      <c r="C391" s="56"/>
      <c r="D391" s="51">
        <v>1</v>
      </c>
      <c r="E391" s="69">
        <v>0.77</v>
      </c>
      <c r="F391" s="69"/>
      <c r="G391" s="69">
        <v>2.2000000000000002</v>
      </c>
      <c r="H391" s="69">
        <v>-1</v>
      </c>
      <c r="I391" s="69">
        <f t="shared" si="63"/>
        <v>-1.6940000000000002</v>
      </c>
      <c r="J391" s="69">
        <f t="shared" si="61"/>
        <v>-1.6940000000000002</v>
      </c>
      <c r="K391" s="2"/>
      <c r="M391" s="52"/>
    </row>
    <row r="392" spans="1:13" outlineLevel="1">
      <c r="A392" s="2"/>
      <c r="B392" s="53" t="s">
        <v>181</v>
      </c>
      <c r="C392" s="56"/>
      <c r="D392" s="51">
        <v>1</v>
      </c>
      <c r="E392" s="69">
        <v>0.87</v>
      </c>
      <c r="F392" s="69"/>
      <c r="G392" s="69">
        <v>2.2000000000000002</v>
      </c>
      <c r="H392" s="69">
        <v>-2</v>
      </c>
      <c r="I392" s="69">
        <f t="shared" si="63"/>
        <v>-3.8280000000000003</v>
      </c>
      <c r="J392" s="69">
        <f t="shared" si="61"/>
        <v>-3.8280000000000003</v>
      </c>
      <c r="K392" s="2"/>
      <c r="M392" s="52"/>
    </row>
    <row r="393" spans="1:13" ht="18" customHeight="1" outlineLevel="1">
      <c r="A393" s="3"/>
      <c r="B393" s="53" t="s">
        <v>184</v>
      </c>
      <c r="C393" s="56"/>
      <c r="D393" s="51">
        <v>1</v>
      </c>
      <c r="E393" s="69">
        <v>2.1</v>
      </c>
      <c r="F393" s="69"/>
      <c r="G393" s="69">
        <v>2.2000000000000002</v>
      </c>
      <c r="H393" s="69">
        <v>-1</v>
      </c>
      <c r="I393" s="69">
        <f t="shared" si="63"/>
        <v>-4.620000000000001</v>
      </c>
      <c r="J393" s="69">
        <f t="shared" si="61"/>
        <v>-4.620000000000001</v>
      </c>
      <c r="K393" s="2"/>
      <c r="M393" s="52"/>
    </row>
    <row r="394" spans="1:13" outlineLevel="1">
      <c r="A394" s="2"/>
      <c r="B394" s="53" t="s">
        <v>183</v>
      </c>
      <c r="C394" s="56"/>
      <c r="D394" s="51">
        <v>1</v>
      </c>
      <c r="E394" s="69">
        <v>0.77</v>
      </c>
      <c r="F394" s="69"/>
      <c r="G394" s="69">
        <v>2.2000000000000002</v>
      </c>
      <c r="H394" s="69">
        <v>-1</v>
      </c>
      <c r="I394" s="69">
        <f t="shared" si="63"/>
        <v>-1.6940000000000002</v>
      </c>
      <c r="J394" s="69">
        <f t="shared" si="61"/>
        <v>-1.6940000000000002</v>
      </c>
      <c r="K394" s="2"/>
      <c r="M394" s="52"/>
    </row>
    <row r="395" spans="1:13" outlineLevel="1">
      <c r="A395" s="3"/>
      <c r="B395" s="32" t="s">
        <v>258</v>
      </c>
      <c r="C395" s="54"/>
      <c r="D395" s="3">
        <v>2</v>
      </c>
      <c r="E395" s="66"/>
      <c r="F395" s="66"/>
      <c r="G395" s="66"/>
      <c r="H395" s="66"/>
      <c r="I395" s="67">
        <f>+SUM(I396:I407)</f>
        <v>106.68564999999997</v>
      </c>
      <c r="J395" s="67">
        <f t="shared" ref="J395:J407" si="64">I395*D395</f>
        <v>213.37129999999993</v>
      </c>
      <c r="K395" s="2" t="s">
        <v>259</v>
      </c>
      <c r="M395" s="52"/>
    </row>
    <row r="396" spans="1:13" outlineLevel="1">
      <c r="A396" s="2"/>
      <c r="B396" s="62" t="s">
        <v>177</v>
      </c>
      <c r="C396" s="55"/>
      <c r="D396" s="2">
        <v>1</v>
      </c>
      <c r="E396" s="70">
        <f>(4850+2900)/1000</f>
        <v>7.75</v>
      </c>
      <c r="F396" s="70"/>
      <c r="G396" s="70">
        <v>2.65</v>
      </c>
      <c r="H396" s="70">
        <v>1</v>
      </c>
      <c r="I396" s="69">
        <f t="shared" ref="I396:I407" si="65">PRODUCT(E396:H396)</f>
        <v>20.537499999999998</v>
      </c>
      <c r="J396" s="69">
        <f t="shared" si="64"/>
        <v>20.537499999999998</v>
      </c>
      <c r="K396" s="2"/>
      <c r="M396" s="52"/>
    </row>
    <row r="397" spans="1:13" outlineLevel="1">
      <c r="A397" s="2"/>
      <c r="B397" s="53" t="s">
        <v>181</v>
      </c>
      <c r="C397" s="56"/>
      <c r="D397" s="51">
        <v>1</v>
      </c>
      <c r="E397" s="69">
        <v>0.87</v>
      </c>
      <c r="F397" s="69"/>
      <c r="G397" s="69">
        <v>2.2000000000000002</v>
      </c>
      <c r="H397" s="69">
        <v>-1</v>
      </c>
      <c r="I397" s="69">
        <f t="shared" si="65"/>
        <v>-1.9140000000000001</v>
      </c>
      <c r="J397" s="69">
        <f t="shared" si="64"/>
        <v>-1.9140000000000001</v>
      </c>
      <c r="K397" s="2"/>
      <c r="M397" s="52"/>
    </row>
    <row r="398" spans="1:13" outlineLevel="1">
      <c r="A398" s="2"/>
      <c r="B398" s="53" t="s">
        <v>261</v>
      </c>
      <c r="C398" s="56"/>
      <c r="D398" s="51">
        <v>1</v>
      </c>
      <c r="E398" s="69">
        <v>1.77</v>
      </c>
      <c r="F398" s="69"/>
      <c r="G398" s="69">
        <v>1.77</v>
      </c>
      <c r="H398" s="69">
        <v>-1</v>
      </c>
      <c r="I398" s="69">
        <f t="shared" ref="I398" si="66">PRODUCT(E398:H398)</f>
        <v>-3.1329000000000002</v>
      </c>
      <c r="J398" s="69">
        <f t="shared" ref="J398" si="67">I398*D398</f>
        <v>-3.1329000000000002</v>
      </c>
      <c r="K398" s="2"/>
      <c r="M398" s="52"/>
    </row>
    <row r="399" spans="1:13" outlineLevel="1">
      <c r="A399" s="2"/>
      <c r="B399" s="53" t="s">
        <v>179</v>
      </c>
      <c r="C399" s="56"/>
      <c r="D399" s="51">
        <v>1</v>
      </c>
      <c r="E399" s="69">
        <f>(1700+2755+1600+3750+3200+4700+524+100+524+2655)/1000</f>
        <v>21.507999999999999</v>
      </c>
      <c r="F399" s="69"/>
      <c r="G399" s="69">
        <v>2.65</v>
      </c>
      <c r="H399" s="69">
        <v>1</v>
      </c>
      <c r="I399" s="69">
        <f t="shared" si="65"/>
        <v>56.996199999999995</v>
      </c>
      <c r="J399" s="69">
        <f t="shared" si="64"/>
        <v>56.996199999999995</v>
      </c>
      <c r="K399" s="2"/>
      <c r="M399" s="52"/>
    </row>
    <row r="400" spans="1:13" outlineLevel="1">
      <c r="A400" s="2"/>
      <c r="B400" s="53" t="s">
        <v>181</v>
      </c>
      <c r="C400" s="56"/>
      <c r="D400" s="51">
        <v>1</v>
      </c>
      <c r="E400" s="69">
        <v>0.87</v>
      </c>
      <c r="F400" s="69"/>
      <c r="G400" s="69">
        <v>2.2000000000000002</v>
      </c>
      <c r="H400" s="69">
        <v>-1</v>
      </c>
      <c r="I400" s="69">
        <f t="shared" ref="I400:I402" si="68">PRODUCT(E400:H400)</f>
        <v>-1.9140000000000001</v>
      </c>
      <c r="J400" s="69">
        <f t="shared" ref="J400:J402" si="69">I400*D400</f>
        <v>-1.9140000000000001</v>
      </c>
      <c r="K400" s="2"/>
      <c r="M400" s="52"/>
    </row>
    <row r="401" spans="1:13" outlineLevel="1">
      <c r="A401" s="2"/>
      <c r="B401" s="53" t="s">
        <v>183</v>
      </c>
      <c r="C401" s="56"/>
      <c r="D401" s="51">
        <v>1</v>
      </c>
      <c r="E401" s="69">
        <v>0.77</v>
      </c>
      <c r="F401" s="69"/>
      <c r="G401" s="69">
        <v>2.2000000000000002</v>
      </c>
      <c r="H401" s="69">
        <v>-1</v>
      </c>
      <c r="I401" s="69">
        <f t="shared" si="68"/>
        <v>-1.6940000000000002</v>
      </c>
      <c r="J401" s="69">
        <f t="shared" si="69"/>
        <v>-1.6940000000000002</v>
      </c>
      <c r="K401" s="2"/>
      <c r="M401" s="52"/>
    </row>
    <row r="402" spans="1:13" outlineLevel="1">
      <c r="A402" s="3"/>
      <c r="B402" s="53" t="s">
        <v>184</v>
      </c>
      <c r="C402" s="56"/>
      <c r="D402" s="51">
        <v>1</v>
      </c>
      <c r="E402" s="69">
        <v>2.1</v>
      </c>
      <c r="F402" s="69"/>
      <c r="G402" s="69">
        <v>2.2000000000000002</v>
      </c>
      <c r="H402" s="69">
        <v>-1</v>
      </c>
      <c r="I402" s="69">
        <f t="shared" si="68"/>
        <v>-4.620000000000001</v>
      </c>
      <c r="J402" s="69">
        <f t="shared" si="69"/>
        <v>-4.620000000000001</v>
      </c>
      <c r="K402" s="2"/>
      <c r="M402" s="52"/>
    </row>
    <row r="403" spans="1:13" outlineLevel="1">
      <c r="A403" s="3"/>
      <c r="B403" s="53" t="s">
        <v>260</v>
      </c>
      <c r="C403" s="56"/>
      <c r="D403" s="51">
        <v>1</v>
      </c>
      <c r="E403" s="69">
        <f>(3200+4600+3250+590)/1000</f>
        <v>11.64</v>
      </c>
      <c r="F403" s="69"/>
      <c r="G403" s="69">
        <v>2.65</v>
      </c>
      <c r="H403" s="69">
        <v>1</v>
      </c>
      <c r="I403" s="69">
        <f t="shared" si="65"/>
        <v>30.846</v>
      </c>
      <c r="J403" s="69">
        <f t="shared" si="64"/>
        <v>30.846</v>
      </c>
      <c r="K403" s="2"/>
      <c r="M403" s="52"/>
    </row>
    <row r="404" spans="1:13" outlineLevel="1">
      <c r="A404" s="2"/>
      <c r="B404" s="53" t="s">
        <v>183</v>
      </c>
      <c r="C404" s="56"/>
      <c r="D404" s="51">
        <v>1</v>
      </c>
      <c r="E404" s="69">
        <v>0.77</v>
      </c>
      <c r="F404" s="69"/>
      <c r="G404" s="69">
        <v>2.2000000000000002</v>
      </c>
      <c r="H404" s="69">
        <v>-1</v>
      </c>
      <c r="I404" s="69">
        <f t="shared" si="65"/>
        <v>-1.6940000000000002</v>
      </c>
      <c r="J404" s="69">
        <f t="shared" si="64"/>
        <v>-1.6940000000000002</v>
      </c>
      <c r="K404" s="2"/>
      <c r="M404" s="52"/>
    </row>
    <row r="405" spans="1:13" outlineLevel="1">
      <c r="A405" s="2"/>
      <c r="B405" s="53" t="s">
        <v>261</v>
      </c>
      <c r="C405" s="56"/>
      <c r="D405" s="51">
        <v>1</v>
      </c>
      <c r="E405" s="69">
        <v>1.77</v>
      </c>
      <c r="F405" s="69"/>
      <c r="G405" s="69">
        <v>1.77</v>
      </c>
      <c r="H405" s="69">
        <v>-1</v>
      </c>
      <c r="I405" s="69">
        <f t="shared" si="65"/>
        <v>-3.1329000000000002</v>
      </c>
      <c r="J405" s="69">
        <f t="shared" si="64"/>
        <v>-3.1329000000000002</v>
      </c>
      <c r="K405" s="2"/>
      <c r="M405" s="52"/>
    </row>
    <row r="406" spans="1:13" outlineLevel="1">
      <c r="A406" s="3"/>
      <c r="B406" s="53" t="s">
        <v>262</v>
      </c>
      <c r="C406" s="56"/>
      <c r="D406" s="51">
        <v>1</v>
      </c>
      <c r="E406" s="69">
        <f>(2170+2655+2370+740)/1000</f>
        <v>7.9349999999999996</v>
      </c>
      <c r="F406" s="69"/>
      <c r="G406" s="69">
        <v>2.65</v>
      </c>
      <c r="H406" s="69">
        <v>1</v>
      </c>
      <c r="I406" s="69">
        <f t="shared" si="65"/>
        <v>21.027749999999997</v>
      </c>
      <c r="J406" s="69">
        <f t="shared" si="64"/>
        <v>21.027749999999997</v>
      </c>
      <c r="K406" s="2"/>
      <c r="M406" s="52"/>
    </row>
    <row r="407" spans="1:13" ht="18" customHeight="1" outlineLevel="1">
      <c r="A407" s="3"/>
      <c r="B407" s="53" t="s">
        <v>184</v>
      </c>
      <c r="C407" s="56"/>
      <c r="D407" s="51">
        <v>1</v>
      </c>
      <c r="E407" s="69">
        <v>2.1</v>
      </c>
      <c r="F407" s="69"/>
      <c r="G407" s="69">
        <v>2.2000000000000002</v>
      </c>
      <c r="H407" s="69">
        <v>-1</v>
      </c>
      <c r="I407" s="69">
        <f t="shared" si="65"/>
        <v>-4.620000000000001</v>
      </c>
      <c r="J407" s="69">
        <f t="shared" si="64"/>
        <v>-4.620000000000001</v>
      </c>
      <c r="K407" s="2"/>
      <c r="M407" s="52"/>
    </row>
    <row r="408" spans="1:13" outlineLevel="1">
      <c r="A408" s="2"/>
      <c r="B408" s="53" t="s">
        <v>180</v>
      </c>
      <c r="C408" s="56"/>
      <c r="D408" s="51">
        <v>1</v>
      </c>
      <c r="E408" s="69">
        <f>(6365+1750+1750+620+100+5170+5899+490+3150+505+100+3796+1100+4100+840)/1000</f>
        <v>35.734999999999999</v>
      </c>
      <c r="F408" s="69"/>
      <c r="G408" s="69">
        <v>2.65</v>
      </c>
      <c r="H408" s="69">
        <v>1</v>
      </c>
      <c r="I408" s="69">
        <f t="shared" ref="I408:I414" si="70">PRODUCT(E408:H408)</f>
        <v>94.697749999999999</v>
      </c>
      <c r="J408" s="69">
        <f t="shared" ref="J408:J414" si="71">I408*D408</f>
        <v>94.697749999999999</v>
      </c>
      <c r="K408" s="2"/>
      <c r="M408" s="52"/>
    </row>
    <row r="409" spans="1:13" outlineLevel="1">
      <c r="A409" s="3"/>
      <c r="B409" s="53" t="s">
        <v>185</v>
      </c>
      <c r="C409" s="56"/>
      <c r="D409" s="51">
        <v>1</v>
      </c>
      <c r="E409" s="69">
        <v>1.1000000000000001</v>
      </c>
      <c r="F409" s="69"/>
      <c r="G409" s="69">
        <v>2.2000000000000002</v>
      </c>
      <c r="H409" s="69">
        <v>-1</v>
      </c>
      <c r="I409" s="69">
        <f t="shared" si="70"/>
        <v>-2.4200000000000004</v>
      </c>
      <c r="J409" s="69">
        <f t="shared" si="71"/>
        <v>-2.4200000000000004</v>
      </c>
      <c r="K409" s="2"/>
      <c r="M409" s="52"/>
    </row>
    <row r="410" spans="1:13" outlineLevel="1">
      <c r="A410" s="3"/>
      <c r="B410" s="53" t="s">
        <v>188</v>
      </c>
      <c r="C410" s="56"/>
      <c r="D410" s="51">
        <v>1</v>
      </c>
      <c r="E410" s="69">
        <v>0.77</v>
      </c>
      <c r="F410" s="69"/>
      <c r="G410" s="69">
        <v>2.2000000000000002</v>
      </c>
      <c r="H410" s="69">
        <v>-1</v>
      </c>
      <c r="I410" s="69">
        <f t="shared" si="70"/>
        <v>-1.6940000000000002</v>
      </c>
      <c r="J410" s="69">
        <f t="shared" si="71"/>
        <v>-1.6940000000000002</v>
      </c>
      <c r="K410" s="2"/>
      <c r="M410" s="52"/>
    </row>
    <row r="411" spans="1:13" outlineLevel="1">
      <c r="A411" s="2"/>
      <c r="B411" s="53" t="s">
        <v>181</v>
      </c>
      <c r="C411" s="56"/>
      <c r="D411" s="51">
        <v>1</v>
      </c>
      <c r="E411" s="69">
        <v>0.87</v>
      </c>
      <c r="F411" s="69"/>
      <c r="G411" s="69">
        <v>2.2000000000000002</v>
      </c>
      <c r="H411" s="69">
        <v>-1</v>
      </c>
      <c r="I411" s="69">
        <f t="shared" si="70"/>
        <v>-1.9140000000000001</v>
      </c>
      <c r="J411" s="69">
        <f t="shared" si="71"/>
        <v>-1.9140000000000001</v>
      </c>
      <c r="K411" s="2"/>
      <c r="M411" s="52"/>
    </row>
    <row r="412" spans="1:13" outlineLevel="1">
      <c r="A412" s="3"/>
      <c r="B412" s="53" t="s">
        <v>201</v>
      </c>
      <c r="C412" s="56"/>
      <c r="D412" s="51">
        <v>1</v>
      </c>
      <c r="E412" s="69">
        <v>2.2000000000000002</v>
      </c>
      <c r="F412" s="69"/>
      <c r="G412" s="69">
        <v>2.2000000000000002</v>
      </c>
      <c r="H412" s="69">
        <v>-2</v>
      </c>
      <c r="I412" s="69">
        <f t="shared" si="70"/>
        <v>-9.6800000000000015</v>
      </c>
      <c r="J412" s="69">
        <f t="shared" si="71"/>
        <v>-9.6800000000000015</v>
      </c>
      <c r="K412" s="2"/>
      <c r="M412" s="52"/>
    </row>
    <row r="413" spans="1:13" ht="18" customHeight="1" outlineLevel="1">
      <c r="A413" s="3"/>
      <c r="B413" s="53" t="s">
        <v>184</v>
      </c>
      <c r="C413" s="56"/>
      <c r="D413" s="51">
        <v>1</v>
      </c>
      <c r="E413" s="69">
        <v>2.1</v>
      </c>
      <c r="F413" s="69"/>
      <c r="G413" s="69">
        <v>2.2000000000000002</v>
      </c>
      <c r="H413" s="69">
        <v>-1</v>
      </c>
      <c r="I413" s="69">
        <f t="shared" si="70"/>
        <v>-4.620000000000001</v>
      </c>
      <c r="J413" s="69">
        <f t="shared" si="71"/>
        <v>-4.620000000000001</v>
      </c>
      <c r="K413" s="2"/>
      <c r="M413" s="52"/>
    </row>
    <row r="414" spans="1:13" outlineLevel="1">
      <c r="A414" s="2"/>
      <c r="B414" s="53" t="s">
        <v>183</v>
      </c>
      <c r="C414" s="56"/>
      <c r="D414" s="51">
        <v>1</v>
      </c>
      <c r="E414" s="69">
        <v>0.77</v>
      </c>
      <c r="F414" s="69"/>
      <c r="G414" s="69">
        <v>2.2000000000000002</v>
      </c>
      <c r="H414" s="69">
        <v>-2</v>
      </c>
      <c r="I414" s="69">
        <f t="shared" si="70"/>
        <v>-3.3880000000000003</v>
      </c>
      <c r="J414" s="69">
        <f t="shared" si="71"/>
        <v>-3.3880000000000003</v>
      </c>
      <c r="K414" s="2"/>
      <c r="M414" s="52"/>
    </row>
    <row r="415" spans="1:13" s="4" customFormat="1" ht="14.25" outlineLevel="1">
      <c r="A415" s="3"/>
      <c r="B415" s="32" t="s">
        <v>101</v>
      </c>
      <c r="C415" s="54"/>
      <c r="D415" s="3">
        <v>2</v>
      </c>
      <c r="E415" s="66"/>
      <c r="F415" s="66"/>
      <c r="G415" s="66"/>
      <c r="H415" s="66"/>
      <c r="I415" s="67">
        <f>+SUM(I416:I418)</f>
        <v>286.39499999999998</v>
      </c>
      <c r="J415" s="67">
        <f t="shared" si="61"/>
        <v>572.79</v>
      </c>
      <c r="K415" s="3"/>
      <c r="M415" s="63"/>
    </row>
    <row r="416" spans="1:13" outlineLevel="1">
      <c r="A416" s="2"/>
      <c r="B416" s="53" t="s">
        <v>206</v>
      </c>
      <c r="C416" s="56"/>
      <c r="D416" s="51">
        <v>1</v>
      </c>
      <c r="E416" s="69">
        <f>(5600+7100+9050+7100+7100+7100+10100+7100+5600+5600+7200+6050+7100+7100+6050+7100+5600)/1000</f>
        <v>117.65</v>
      </c>
      <c r="F416" s="69"/>
      <c r="G416" s="69">
        <v>2.5</v>
      </c>
      <c r="H416" s="69">
        <v>1</v>
      </c>
      <c r="I416" s="69">
        <f t="shared" ref="I416:I418" si="72">PRODUCT(E416:H416)</f>
        <v>294.125</v>
      </c>
      <c r="J416" s="69">
        <f t="shared" si="61"/>
        <v>294.125</v>
      </c>
      <c r="K416" s="2"/>
      <c r="M416" s="52"/>
    </row>
    <row r="417" spans="1:13" outlineLevel="1">
      <c r="A417" s="2"/>
      <c r="B417" s="53"/>
      <c r="C417" s="56"/>
      <c r="D417" s="51">
        <v>1</v>
      </c>
      <c r="E417" s="69">
        <f>7.65*2</f>
        <v>15.3</v>
      </c>
      <c r="F417" s="69"/>
      <c r="G417" s="69">
        <v>2.5</v>
      </c>
      <c r="H417" s="69">
        <v>1</v>
      </c>
      <c r="I417" s="69">
        <f t="shared" si="72"/>
        <v>38.25</v>
      </c>
      <c r="J417" s="69">
        <f t="shared" si="61"/>
        <v>38.25</v>
      </c>
      <c r="K417" s="2"/>
      <c r="M417" s="52"/>
    </row>
    <row r="418" spans="1:13" outlineLevel="1">
      <c r="A418" s="3"/>
      <c r="B418" s="53" t="s">
        <v>185</v>
      </c>
      <c r="C418" s="56"/>
      <c r="D418" s="51">
        <v>1</v>
      </c>
      <c r="E418" s="69">
        <v>1.1000000000000001</v>
      </c>
      <c r="F418" s="69"/>
      <c r="G418" s="69">
        <v>2.2000000000000002</v>
      </c>
      <c r="H418" s="69">
        <v>-19</v>
      </c>
      <c r="I418" s="69">
        <f t="shared" si="72"/>
        <v>-45.980000000000004</v>
      </c>
      <c r="J418" s="69">
        <f t="shared" si="61"/>
        <v>-45.980000000000004</v>
      </c>
      <c r="K418" s="2"/>
      <c r="M418" s="52"/>
    </row>
    <row r="419" spans="1:13">
      <c r="A419" s="58">
        <v>5</v>
      </c>
      <c r="B419" s="59" t="s">
        <v>147</v>
      </c>
      <c r="C419" s="60"/>
      <c r="D419" s="58">
        <v>1</v>
      </c>
      <c r="E419" s="68"/>
      <c r="F419" s="68"/>
      <c r="G419" s="68"/>
      <c r="H419" s="68"/>
      <c r="I419" s="68">
        <f>+J420+J432+J445+J457+J468+J476+J508</f>
        <v>0</v>
      </c>
      <c r="J419" s="68">
        <f>+D419*I419</f>
        <v>0</v>
      </c>
      <c r="K419" s="61"/>
      <c r="M419" s="52"/>
    </row>
  </sheetData>
  <autoFilter ref="A5:K411" xr:uid="{00000000-0009-0000-0000-000002000000}"/>
  <mergeCells count="10">
    <mergeCell ref="A2:K2"/>
    <mergeCell ref="A6:A7"/>
    <mergeCell ref="B6:B7"/>
    <mergeCell ref="C6:C7"/>
    <mergeCell ref="D6:D7"/>
    <mergeCell ref="E6:G6"/>
    <mergeCell ref="H6:H7"/>
    <mergeCell ref="I6:I7"/>
    <mergeCell ref="J6:J7"/>
    <mergeCell ref="K6:K7"/>
  </mergeCells>
  <conditionalFormatting sqref="A6:K6 A7:I7 K7">
    <cfRule type="cellIs" dxfId="6" priority="1" operator="lessThan">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B41AB-5A9D-4471-A260-E8C376B191CB}">
  <sheetPr>
    <tabColor theme="0" tint="-0.14999847407452621"/>
  </sheetPr>
  <dimension ref="A2:O297"/>
  <sheetViews>
    <sheetView zoomScaleNormal="100" workbookViewId="0">
      <pane xSplit="3" ySplit="7" topLeftCell="D29" activePane="bottomRight" state="frozen"/>
      <selection activeCell="I17" sqref="I17"/>
      <selection pane="topRight" activeCell="I17" sqref="I17"/>
      <selection pane="bottomLeft" activeCell="I17" sqref="I17"/>
      <selection pane="bottomRight" activeCell="I17" sqref="I17"/>
    </sheetView>
  </sheetViews>
  <sheetFormatPr defaultRowHeight="15" outlineLevelRow="1"/>
  <cols>
    <col min="1" max="1" width="6.28515625" style="1" customWidth="1"/>
    <col min="2" max="2" width="58" style="1" customWidth="1"/>
    <col min="3" max="3" width="9.140625" style="57"/>
    <col min="4" max="4" width="9.140625" style="1" customWidth="1"/>
    <col min="5" max="5" width="10.42578125" style="71" customWidth="1"/>
    <col min="6" max="8" width="9.140625" style="71" customWidth="1"/>
    <col min="9" max="9" width="13" style="71" customWidth="1"/>
    <col min="10" max="10" width="11.140625" style="71" customWidth="1"/>
    <col min="11" max="11" width="15" style="1" customWidth="1"/>
    <col min="12" max="12" width="9.140625" style="1"/>
    <col min="13" max="13" width="13.7109375" style="1" customWidth="1"/>
    <col min="14" max="14" width="44.5703125" style="1" customWidth="1"/>
    <col min="15" max="16384" width="9.140625" style="1"/>
  </cols>
  <sheetData>
    <row r="2" spans="1:15">
      <c r="A2" s="178" t="s">
        <v>205</v>
      </c>
      <c r="B2" s="178"/>
      <c r="C2" s="178"/>
      <c r="D2" s="178"/>
      <c r="E2" s="178"/>
      <c r="F2" s="178"/>
      <c r="G2" s="178"/>
      <c r="H2" s="178"/>
      <c r="I2" s="178"/>
      <c r="J2" s="178"/>
      <c r="K2" s="178"/>
    </row>
    <row r="6" spans="1:15" ht="15.75" customHeight="1">
      <c r="A6" s="179" t="s">
        <v>0</v>
      </c>
      <c r="B6" s="179" t="s">
        <v>1</v>
      </c>
      <c r="C6" s="179" t="s">
        <v>2</v>
      </c>
      <c r="D6" s="179" t="s">
        <v>3</v>
      </c>
      <c r="E6" s="181" t="s">
        <v>4</v>
      </c>
      <c r="F6" s="181"/>
      <c r="G6" s="181"/>
      <c r="H6" s="182" t="s">
        <v>5</v>
      </c>
      <c r="I6" s="181" t="s">
        <v>93</v>
      </c>
      <c r="J6" s="185" t="s">
        <v>6</v>
      </c>
      <c r="K6" s="179" t="s">
        <v>7</v>
      </c>
    </row>
    <row r="7" spans="1:15" ht="36.75" customHeight="1">
      <c r="A7" s="180"/>
      <c r="B7" s="180"/>
      <c r="C7" s="180"/>
      <c r="D7" s="180"/>
      <c r="E7" s="65" t="s">
        <v>8</v>
      </c>
      <c r="F7" s="65" t="s">
        <v>9</v>
      </c>
      <c r="G7" s="65" t="s">
        <v>10</v>
      </c>
      <c r="H7" s="183"/>
      <c r="I7" s="184"/>
      <c r="J7" s="186"/>
      <c r="K7" s="180"/>
    </row>
    <row r="8" spans="1:15" ht="29.25">
      <c r="A8" s="3" t="s">
        <v>19</v>
      </c>
      <c r="B8" s="32" t="s">
        <v>107</v>
      </c>
      <c r="C8" s="54" t="s">
        <v>12</v>
      </c>
      <c r="D8" s="3"/>
      <c r="E8" s="66"/>
      <c r="F8" s="66"/>
      <c r="G8" s="66"/>
      <c r="H8" s="66"/>
      <c r="I8" s="67"/>
      <c r="J8" s="67"/>
      <c r="K8" s="2"/>
      <c r="M8" s="52"/>
      <c r="N8" s="1" t="s">
        <v>178</v>
      </c>
      <c r="O8" s="1">
        <f>2.65+0.05-0.035-0.08+0.03</f>
        <v>2.6149999999999993</v>
      </c>
    </row>
    <row r="9" spans="1:15">
      <c r="A9" s="58">
        <v>1</v>
      </c>
      <c r="B9" s="59" t="s">
        <v>146</v>
      </c>
      <c r="C9" s="60"/>
      <c r="D9" s="58">
        <v>1</v>
      </c>
      <c r="E9" s="68"/>
      <c r="F9" s="68"/>
      <c r="G9" s="68"/>
      <c r="H9" s="68"/>
      <c r="I9" s="68">
        <f>+I10</f>
        <v>1512.5328999999999</v>
      </c>
      <c r="J9" s="68">
        <f>+D9*I9</f>
        <v>1512.5328999999999</v>
      </c>
      <c r="K9" s="61"/>
      <c r="M9" s="52"/>
    </row>
    <row r="10" spans="1:15">
      <c r="A10" s="58">
        <v>2</v>
      </c>
      <c r="B10" s="59" t="s">
        <v>172</v>
      </c>
      <c r="C10" s="60"/>
      <c r="D10" s="58">
        <v>5</v>
      </c>
      <c r="E10" s="68"/>
      <c r="F10" s="68"/>
      <c r="G10" s="68"/>
      <c r="H10" s="68"/>
      <c r="I10" s="68">
        <f>+J11+J18+J23+J28+J34+J39+J43+J49+J60</f>
        <v>1512.5328999999999</v>
      </c>
      <c r="J10" s="68">
        <f>+D10*I10</f>
        <v>7562.6644999999999</v>
      </c>
      <c r="K10" s="61"/>
      <c r="M10" s="52"/>
    </row>
    <row r="11" spans="1:15" ht="29.25" outlineLevel="1">
      <c r="A11" s="3"/>
      <c r="B11" s="32" t="s">
        <v>190</v>
      </c>
      <c r="C11" s="54"/>
      <c r="D11" s="3">
        <v>8</v>
      </c>
      <c r="E11" s="66"/>
      <c r="F11" s="66"/>
      <c r="G11" s="66"/>
      <c r="H11" s="66"/>
      <c r="I11" s="67">
        <f>+SUM(I12:I17)</f>
        <v>34.473050000000001</v>
      </c>
      <c r="J11" s="67">
        <f>+D11*I11</f>
        <v>275.78440000000001</v>
      </c>
      <c r="K11" s="2"/>
      <c r="M11" s="52"/>
      <c r="N11" s="52"/>
    </row>
    <row r="12" spans="1:15" outlineLevel="1">
      <c r="A12" s="3"/>
      <c r="B12" s="53" t="s">
        <v>177</v>
      </c>
      <c r="C12" s="56"/>
      <c r="D12" s="51">
        <v>1</v>
      </c>
      <c r="E12" s="69">
        <f>(1300+150+1850+2550+150+200)/1000</f>
        <v>6.2</v>
      </c>
      <c r="F12" s="69"/>
      <c r="G12" s="69">
        <v>2.65</v>
      </c>
      <c r="H12" s="69">
        <v>1</v>
      </c>
      <c r="I12" s="69">
        <f t="shared" ref="I12:I17" si="0">PRODUCT(E12:H12)</f>
        <v>16.43</v>
      </c>
      <c r="J12" s="69">
        <f t="shared" ref="J12:J17" si="1">I12*D12</f>
        <v>16.43</v>
      </c>
      <c r="K12" s="2" t="s">
        <v>197</v>
      </c>
      <c r="M12" s="52"/>
    </row>
    <row r="13" spans="1:15" outlineLevel="1">
      <c r="A13" s="3"/>
      <c r="B13" s="53" t="s">
        <v>261</v>
      </c>
      <c r="C13" s="56"/>
      <c r="D13" s="51">
        <v>1</v>
      </c>
      <c r="E13" s="69">
        <v>1.77</v>
      </c>
      <c r="F13" s="69"/>
      <c r="G13" s="69">
        <v>1.77</v>
      </c>
      <c r="H13" s="69">
        <v>-1</v>
      </c>
      <c r="I13" s="69">
        <f t="shared" si="0"/>
        <v>-3.1329000000000002</v>
      </c>
      <c r="J13" s="69">
        <f t="shared" si="1"/>
        <v>-3.1329000000000002</v>
      </c>
      <c r="K13" s="2"/>
      <c r="M13" s="52"/>
    </row>
    <row r="14" spans="1:15" outlineLevel="1">
      <c r="A14" s="3"/>
      <c r="B14" s="53" t="s">
        <v>179</v>
      </c>
      <c r="C14" s="56"/>
      <c r="D14" s="51">
        <v>1</v>
      </c>
      <c r="E14" s="69">
        <f>(2850+2250+100)/1000</f>
        <v>5.2</v>
      </c>
      <c r="F14" s="69"/>
      <c r="G14" s="69">
        <v>2.65</v>
      </c>
      <c r="H14" s="69">
        <v>1</v>
      </c>
      <c r="I14" s="69">
        <f t="shared" si="0"/>
        <v>13.78</v>
      </c>
      <c r="J14" s="69">
        <f t="shared" si="1"/>
        <v>13.78</v>
      </c>
      <c r="K14" s="2"/>
      <c r="M14" s="52"/>
    </row>
    <row r="15" spans="1:15" outlineLevel="1">
      <c r="A15" s="3"/>
      <c r="B15" s="53" t="s">
        <v>261</v>
      </c>
      <c r="C15" s="56"/>
      <c r="D15" s="51">
        <v>1</v>
      </c>
      <c r="E15" s="69">
        <v>1.77</v>
      </c>
      <c r="F15" s="69"/>
      <c r="G15" s="69">
        <v>1.77</v>
      </c>
      <c r="H15" s="69">
        <v>-1</v>
      </c>
      <c r="I15" s="69">
        <f t="shared" si="0"/>
        <v>-3.1329000000000002</v>
      </c>
      <c r="J15" s="69">
        <f t="shared" si="1"/>
        <v>-3.1329000000000002</v>
      </c>
      <c r="K15" s="2"/>
      <c r="M15" s="52"/>
    </row>
    <row r="16" spans="1:15" outlineLevel="1">
      <c r="A16" s="3"/>
      <c r="B16" s="53" t="s">
        <v>180</v>
      </c>
      <c r="C16" s="56"/>
      <c r="D16" s="51">
        <v>1</v>
      </c>
      <c r="E16" s="69">
        <f>(1950+330+590+1170+650+150+65+50)/1000</f>
        <v>4.9550000000000001</v>
      </c>
      <c r="F16" s="69"/>
      <c r="G16" s="69">
        <v>2.65</v>
      </c>
      <c r="H16" s="69">
        <v>1</v>
      </c>
      <c r="I16" s="69">
        <f t="shared" si="0"/>
        <v>13.130749999999999</v>
      </c>
      <c r="J16" s="69">
        <f t="shared" si="1"/>
        <v>13.130749999999999</v>
      </c>
      <c r="K16" s="2"/>
      <c r="M16" s="52"/>
    </row>
    <row r="17" spans="1:13" outlineLevel="1">
      <c r="A17" s="3"/>
      <c r="B17" s="53" t="s">
        <v>275</v>
      </c>
      <c r="C17" s="56"/>
      <c r="D17" s="51">
        <v>1</v>
      </c>
      <c r="E17" s="69">
        <v>1.47</v>
      </c>
      <c r="F17" s="69"/>
      <c r="G17" s="69">
        <v>1.77</v>
      </c>
      <c r="H17" s="69">
        <v>-1</v>
      </c>
      <c r="I17" s="69">
        <f t="shared" si="0"/>
        <v>-2.6019000000000001</v>
      </c>
      <c r="J17" s="69">
        <f t="shared" si="1"/>
        <v>-2.6019000000000001</v>
      </c>
      <c r="K17" s="2"/>
      <c r="M17" s="52"/>
    </row>
    <row r="18" spans="1:13" ht="43.5" outlineLevel="1">
      <c r="A18" s="3"/>
      <c r="B18" s="32" t="s">
        <v>192</v>
      </c>
      <c r="C18" s="54" t="s">
        <v>12</v>
      </c>
      <c r="D18" s="3">
        <v>18</v>
      </c>
      <c r="E18" s="66"/>
      <c r="F18" s="66"/>
      <c r="G18" s="66"/>
      <c r="H18" s="66"/>
      <c r="I18" s="67">
        <f>+SUM(I19:I22)</f>
        <v>16.304849999999998</v>
      </c>
      <c r="J18" s="67">
        <f>+D18*I18</f>
        <v>293.48729999999995</v>
      </c>
      <c r="K18" s="2"/>
      <c r="M18" s="52"/>
    </row>
    <row r="19" spans="1:13" outlineLevel="1">
      <c r="A19" s="3"/>
      <c r="B19" s="53" t="s">
        <v>177</v>
      </c>
      <c r="C19" s="56"/>
      <c r="D19" s="51">
        <v>1</v>
      </c>
      <c r="E19" s="69">
        <v>3</v>
      </c>
      <c r="F19" s="69"/>
      <c r="G19" s="69">
        <v>2.65</v>
      </c>
      <c r="H19" s="69">
        <v>1</v>
      </c>
      <c r="I19" s="69">
        <f t="shared" ref="I19:I22" si="2">PRODUCT(E19:H19)</f>
        <v>7.9499999999999993</v>
      </c>
      <c r="J19" s="69">
        <f t="shared" ref="J19:J22" si="3">I19*D19</f>
        <v>7.9499999999999993</v>
      </c>
      <c r="K19" s="2" t="s">
        <v>198</v>
      </c>
      <c r="M19" s="52"/>
    </row>
    <row r="20" spans="1:13" outlineLevel="1">
      <c r="A20" s="3"/>
      <c r="B20" s="53" t="s">
        <v>261</v>
      </c>
      <c r="C20" s="56"/>
      <c r="D20" s="51">
        <v>1</v>
      </c>
      <c r="E20" s="69">
        <v>1.77</v>
      </c>
      <c r="F20" s="69"/>
      <c r="G20" s="69">
        <v>1.77</v>
      </c>
      <c r="H20" s="69">
        <v>-1</v>
      </c>
      <c r="I20" s="69">
        <f>PRODUCT(E20:H20)</f>
        <v>-3.1329000000000002</v>
      </c>
      <c r="J20" s="69">
        <f>I20*D20</f>
        <v>-3.1329000000000002</v>
      </c>
      <c r="K20" s="2"/>
      <c r="M20" s="52"/>
    </row>
    <row r="21" spans="1:13" outlineLevel="1">
      <c r="A21" s="3"/>
      <c r="B21" s="53" t="s">
        <v>179</v>
      </c>
      <c r="C21" s="56"/>
      <c r="D21" s="51">
        <v>1</v>
      </c>
      <c r="E21" s="69">
        <f>(2717+100)/1000</f>
        <v>2.8170000000000002</v>
      </c>
      <c r="F21" s="69"/>
      <c r="G21" s="69">
        <v>2.65</v>
      </c>
      <c r="H21" s="69">
        <v>1</v>
      </c>
      <c r="I21" s="69">
        <f t="shared" si="2"/>
        <v>7.4650500000000006</v>
      </c>
      <c r="J21" s="69">
        <f t="shared" si="3"/>
        <v>7.4650500000000006</v>
      </c>
      <c r="K21" s="2"/>
      <c r="M21" s="52"/>
    </row>
    <row r="22" spans="1:13" outlineLevel="1">
      <c r="A22" s="3"/>
      <c r="B22" s="53" t="s">
        <v>180</v>
      </c>
      <c r="C22" s="56"/>
      <c r="D22" s="51">
        <v>1</v>
      </c>
      <c r="E22" s="69">
        <f>(65+100+100+1253)/1000</f>
        <v>1.518</v>
      </c>
      <c r="F22" s="69"/>
      <c r="G22" s="69">
        <v>2.65</v>
      </c>
      <c r="H22" s="69">
        <v>1</v>
      </c>
      <c r="I22" s="69">
        <f t="shared" si="2"/>
        <v>4.0226999999999995</v>
      </c>
      <c r="J22" s="69">
        <f t="shared" si="3"/>
        <v>4.0226999999999995</v>
      </c>
      <c r="K22" s="2"/>
      <c r="M22" s="52"/>
    </row>
    <row r="23" spans="1:13" outlineLevel="1">
      <c r="A23" s="3"/>
      <c r="B23" s="32" t="s">
        <v>191</v>
      </c>
      <c r="C23" s="54" t="s">
        <v>12</v>
      </c>
      <c r="D23" s="3">
        <v>2</v>
      </c>
      <c r="E23" s="66"/>
      <c r="F23" s="66"/>
      <c r="G23" s="66"/>
      <c r="H23" s="66"/>
      <c r="I23" s="67">
        <f>+SUM(I24:I27)</f>
        <v>16.940850000000001</v>
      </c>
      <c r="J23" s="67">
        <f t="shared" ref="J23:J33" si="4">I23*D23</f>
        <v>33.881700000000002</v>
      </c>
      <c r="K23" s="2" t="s">
        <v>200</v>
      </c>
      <c r="M23" s="52"/>
    </row>
    <row r="24" spans="1:13" outlineLevel="1">
      <c r="A24" s="2"/>
      <c r="B24" s="62" t="s">
        <v>177</v>
      </c>
      <c r="C24" s="55"/>
      <c r="D24" s="2">
        <v>1</v>
      </c>
      <c r="E24" s="70">
        <f>(100+1050+2960)/1000</f>
        <v>4.1100000000000003</v>
      </c>
      <c r="F24" s="70"/>
      <c r="G24" s="70">
        <v>2.65</v>
      </c>
      <c r="H24" s="70">
        <v>1</v>
      </c>
      <c r="I24" s="69">
        <f>PRODUCT(E24:H24)</f>
        <v>10.891500000000001</v>
      </c>
      <c r="J24" s="69">
        <f t="shared" si="4"/>
        <v>10.891500000000001</v>
      </c>
      <c r="K24" s="2"/>
      <c r="M24" s="52"/>
    </row>
    <row r="25" spans="1:13" outlineLevel="1">
      <c r="A25" s="3"/>
      <c r="B25" s="53" t="s">
        <v>261</v>
      </c>
      <c r="C25" s="56"/>
      <c r="D25" s="51">
        <v>1</v>
      </c>
      <c r="E25" s="69">
        <v>1.77</v>
      </c>
      <c r="F25" s="69"/>
      <c r="G25" s="69">
        <v>1.77</v>
      </c>
      <c r="H25" s="69">
        <v>-1</v>
      </c>
      <c r="I25" s="69">
        <f>PRODUCT(E25:H25)</f>
        <v>-3.1329000000000002</v>
      </c>
      <c r="J25" s="69">
        <f t="shared" si="4"/>
        <v>-3.1329000000000002</v>
      </c>
      <c r="K25" s="2"/>
      <c r="M25" s="52"/>
    </row>
    <row r="26" spans="1:13" outlineLevel="1">
      <c r="A26" s="3"/>
      <c r="B26" s="53" t="s">
        <v>179</v>
      </c>
      <c r="C26" s="56"/>
      <c r="D26" s="51">
        <v>1</v>
      </c>
      <c r="E26" s="69">
        <f>(50+100+100+365)/1000</f>
        <v>0.61499999999999999</v>
      </c>
      <c r="F26" s="69"/>
      <c r="G26" s="69">
        <v>2.65</v>
      </c>
      <c r="H26" s="69">
        <v>1</v>
      </c>
      <c r="I26" s="69">
        <f>PRODUCT(E26:H26)</f>
        <v>1.62975</v>
      </c>
      <c r="J26" s="69">
        <f t="shared" si="4"/>
        <v>1.62975</v>
      </c>
      <c r="K26" s="2"/>
      <c r="M26" s="52"/>
    </row>
    <row r="27" spans="1:13" outlineLevel="1">
      <c r="A27" s="2"/>
      <c r="B27" s="62" t="s">
        <v>180</v>
      </c>
      <c r="C27" s="55"/>
      <c r="D27" s="2">
        <v>1</v>
      </c>
      <c r="E27" s="70">
        <f>(330+1920+600)/1000</f>
        <v>2.85</v>
      </c>
      <c r="F27" s="70"/>
      <c r="G27" s="70">
        <v>2.65</v>
      </c>
      <c r="H27" s="70">
        <v>1</v>
      </c>
      <c r="I27" s="69">
        <f>PRODUCT(E27:H27)</f>
        <v>7.5525000000000002</v>
      </c>
      <c r="J27" s="69">
        <f t="shared" si="4"/>
        <v>7.5525000000000002</v>
      </c>
      <c r="K27" s="2"/>
      <c r="M27" s="52"/>
    </row>
    <row r="28" spans="1:13" outlineLevel="1">
      <c r="A28" s="3"/>
      <c r="B28" s="32" t="s">
        <v>193</v>
      </c>
      <c r="C28" s="54"/>
      <c r="D28" s="3">
        <v>4</v>
      </c>
      <c r="E28" s="66"/>
      <c r="F28" s="66"/>
      <c r="G28" s="66"/>
      <c r="H28" s="66"/>
      <c r="I28" s="67">
        <f>+SUM(I29:I33)</f>
        <v>31.16545</v>
      </c>
      <c r="J28" s="67">
        <f t="shared" si="4"/>
        <v>124.6618</v>
      </c>
      <c r="K28" s="2" t="s">
        <v>202</v>
      </c>
      <c r="M28" s="52"/>
    </row>
    <row r="29" spans="1:13" outlineLevel="1">
      <c r="A29" s="2"/>
      <c r="B29" s="62" t="s">
        <v>262</v>
      </c>
      <c r="C29" s="55"/>
      <c r="D29" s="2">
        <v>1</v>
      </c>
      <c r="E29" s="70">
        <f>(2800+4850)/1000</f>
        <v>7.65</v>
      </c>
      <c r="F29" s="70"/>
      <c r="G29" s="70">
        <v>2.65</v>
      </c>
      <c r="H29" s="70">
        <v>1</v>
      </c>
      <c r="I29" s="69">
        <f>PRODUCT(E29:H29)</f>
        <v>20.272500000000001</v>
      </c>
      <c r="J29" s="69">
        <f t="shared" si="4"/>
        <v>20.272500000000001</v>
      </c>
      <c r="K29" s="2"/>
      <c r="M29" s="52"/>
    </row>
    <row r="30" spans="1:13" outlineLevel="1">
      <c r="A30" s="3"/>
      <c r="B30" s="53" t="s">
        <v>261</v>
      </c>
      <c r="C30" s="56"/>
      <c r="D30" s="51">
        <v>1</v>
      </c>
      <c r="E30" s="69">
        <v>1.77</v>
      </c>
      <c r="F30" s="69"/>
      <c r="G30" s="69">
        <v>1.77</v>
      </c>
      <c r="H30" s="69">
        <v>-1</v>
      </c>
      <c r="I30" s="69">
        <f>PRODUCT(E30:H30)</f>
        <v>-3.1329000000000002</v>
      </c>
      <c r="J30" s="69">
        <f t="shared" si="4"/>
        <v>-3.1329000000000002</v>
      </c>
      <c r="K30" s="2"/>
      <c r="M30" s="52"/>
    </row>
    <row r="31" spans="1:13" outlineLevel="1">
      <c r="A31" s="2"/>
      <c r="B31" s="62" t="s">
        <v>179</v>
      </c>
      <c r="C31" s="55"/>
      <c r="D31" s="2">
        <v>1</v>
      </c>
      <c r="E31" s="70">
        <f>(75+2250+3050)/1000</f>
        <v>5.375</v>
      </c>
      <c r="F31" s="70"/>
      <c r="G31" s="70">
        <v>2.65</v>
      </c>
      <c r="H31" s="70">
        <v>1</v>
      </c>
      <c r="I31" s="69">
        <f>PRODUCT(E31:H31)</f>
        <v>14.24375</v>
      </c>
      <c r="J31" s="69">
        <f t="shared" si="4"/>
        <v>14.24375</v>
      </c>
      <c r="K31" s="2"/>
      <c r="M31" s="52"/>
    </row>
    <row r="32" spans="1:13" outlineLevel="1">
      <c r="A32" s="3"/>
      <c r="B32" s="53" t="s">
        <v>261</v>
      </c>
      <c r="C32" s="56"/>
      <c r="D32" s="51">
        <v>1</v>
      </c>
      <c r="E32" s="69">
        <v>1.77</v>
      </c>
      <c r="F32" s="69"/>
      <c r="G32" s="69">
        <v>1.77</v>
      </c>
      <c r="H32" s="69">
        <v>-1</v>
      </c>
      <c r="I32" s="69">
        <f>PRODUCT(E32:H32)</f>
        <v>-3.1329000000000002</v>
      </c>
      <c r="J32" s="69">
        <f t="shared" si="4"/>
        <v>-3.1329000000000002</v>
      </c>
      <c r="K32" s="2"/>
      <c r="M32" s="52"/>
    </row>
    <row r="33" spans="1:13" outlineLevel="1">
      <c r="A33" s="3"/>
      <c r="B33" s="53" t="s">
        <v>180</v>
      </c>
      <c r="C33" s="56"/>
      <c r="D33" s="51">
        <v>1</v>
      </c>
      <c r="E33" s="69">
        <f>(500+385+215)/1000</f>
        <v>1.1000000000000001</v>
      </c>
      <c r="F33" s="69"/>
      <c r="G33" s="69">
        <v>2.65</v>
      </c>
      <c r="H33" s="69">
        <v>1</v>
      </c>
      <c r="I33" s="69">
        <f>PRODUCT(E33:H33)</f>
        <v>2.915</v>
      </c>
      <c r="J33" s="69">
        <f t="shared" si="4"/>
        <v>2.915</v>
      </c>
      <c r="K33" s="2"/>
      <c r="M33" s="52"/>
    </row>
    <row r="34" spans="1:13" outlineLevel="1">
      <c r="A34" s="3"/>
      <c r="B34" s="32" t="s">
        <v>194</v>
      </c>
      <c r="C34" s="54"/>
      <c r="D34" s="3">
        <v>2</v>
      </c>
      <c r="E34" s="66"/>
      <c r="F34" s="66"/>
      <c r="G34" s="66"/>
      <c r="H34" s="66"/>
      <c r="I34" s="67">
        <f>+SUM(I35:I38)</f>
        <v>33.331099999999999</v>
      </c>
      <c r="J34" s="67">
        <f>+D34*I34</f>
        <v>66.662199999999999</v>
      </c>
      <c r="K34" s="2"/>
      <c r="M34" s="52"/>
    </row>
    <row r="35" spans="1:13" outlineLevel="1">
      <c r="A35" s="3"/>
      <c r="B35" s="53" t="s">
        <v>177</v>
      </c>
      <c r="C35" s="56"/>
      <c r="D35" s="51">
        <v>1</v>
      </c>
      <c r="E35" s="69">
        <f>(3000+1850+1700+150)/1000</f>
        <v>6.7</v>
      </c>
      <c r="F35" s="69"/>
      <c r="G35" s="69">
        <v>2.65</v>
      </c>
      <c r="H35" s="69">
        <v>1</v>
      </c>
      <c r="I35" s="69">
        <f>PRODUCT(E35:H35)</f>
        <v>17.754999999999999</v>
      </c>
      <c r="J35" s="69">
        <f t="shared" ref="J35:J55" si="5">I35*D35</f>
        <v>17.754999999999999</v>
      </c>
      <c r="K35" s="2" t="s">
        <v>199</v>
      </c>
      <c r="M35" s="52"/>
    </row>
    <row r="36" spans="1:13" outlineLevel="1">
      <c r="A36" s="3"/>
      <c r="B36" s="53" t="s">
        <v>261</v>
      </c>
      <c r="C36" s="56"/>
      <c r="D36" s="51">
        <v>1</v>
      </c>
      <c r="E36" s="69">
        <v>1.77</v>
      </c>
      <c r="F36" s="69"/>
      <c r="G36" s="69">
        <v>1.77</v>
      </c>
      <c r="H36" s="69">
        <v>-1</v>
      </c>
      <c r="I36" s="69">
        <f>PRODUCT(E36:H36)</f>
        <v>-3.1329000000000002</v>
      </c>
      <c r="J36" s="69">
        <f t="shared" si="5"/>
        <v>-3.1329000000000002</v>
      </c>
      <c r="K36" s="2"/>
      <c r="M36" s="52"/>
    </row>
    <row r="37" spans="1:13" outlineLevel="1">
      <c r="A37" s="3"/>
      <c r="B37" s="53" t="s">
        <v>179</v>
      </c>
      <c r="C37" s="56"/>
      <c r="D37" s="51">
        <v>1</v>
      </c>
      <c r="E37" s="69">
        <f>(1915+690+150)/1000</f>
        <v>2.7549999999999999</v>
      </c>
      <c r="F37" s="69"/>
      <c r="G37" s="69">
        <v>2.65</v>
      </c>
      <c r="H37" s="69">
        <v>1</v>
      </c>
      <c r="I37" s="69">
        <f>PRODUCT(E37:H37)</f>
        <v>7.3007499999999999</v>
      </c>
      <c r="J37" s="69">
        <f t="shared" si="5"/>
        <v>7.3007499999999999</v>
      </c>
      <c r="K37" s="2"/>
      <c r="M37" s="52"/>
    </row>
    <row r="38" spans="1:13" outlineLevel="1">
      <c r="A38" s="3"/>
      <c r="B38" s="53" t="s">
        <v>180</v>
      </c>
      <c r="C38" s="56"/>
      <c r="D38" s="51">
        <v>1</v>
      </c>
      <c r="E38" s="69">
        <f>(485+445+2225+100+100+950)/1000</f>
        <v>4.3049999999999997</v>
      </c>
      <c r="F38" s="69"/>
      <c r="G38" s="69">
        <v>2.65</v>
      </c>
      <c r="H38" s="69">
        <v>1</v>
      </c>
      <c r="I38" s="69">
        <f>PRODUCT(E38:H38)</f>
        <v>11.408249999999999</v>
      </c>
      <c r="J38" s="69">
        <f t="shared" si="5"/>
        <v>11.408249999999999</v>
      </c>
      <c r="K38" s="2"/>
      <c r="M38" s="52"/>
    </row>
    <row r="39" spans="1:13" outlineLevel="1">
      <c r="A39" s="3"/>
      <c r="B39" s="32" t="s">
        <v>195</v>
      </c>
      <c r="C39" s="54"/>
      <c r="D39" s="3">
        <v>2</v>
      </c>
      <c r="E39" s="66"/>
      <c r="F39" s="66"/>
      <c r="G39" s="66"/>
      <c r="H39" s="66"/>
      <c r="I39" s="67">
        <f>+SUM(I40:I42)</f>
        <v>33.052849999999999</v>
      </c>
      <c r="J39" s="67">
        <f t="shared" si="5"/>
        <v>66.105699999999999</v>
      </c>
      <c r="K39" s="2" t="s">
        <v>203</v>
      </c>
      <c r="M39" s="52"/>
    </row>
    <row r="40" spans="1:13" outlineLevel="1">
      <c r="A40" s="2"/>
      <c r="B40" s="62" t="s">
        <v>177</v>
      </c>
      <c r="C40" s="55"/>
      <c r="D40" s="2">
        <v>1</v>
      </c>
      <c r="E40" s="70">
        <f>(3000+1850+150+2400)/1000</f>
        <v>7.4</v>
      </c>
      <c r="F40" s="70"/>
      <c r="G40" s="70">
        <v>2.65</v>
      </c>
      <c r="H40" s="70">
        <v>1</v>
      </c>
      <c r="I40" s="69">
        <f>PRODUCT(E40:H40)</f>
        <v>19.61</v>
      </c>
      <c r="J40" s="69">
        <f t="shared" si="5"/>
        <v>19.61</v>
      </c>
      <c r="K40" s="2"/>
      <c r="M40" s="52"/>
    </row>
    <row r="41" spans="1:13" outlineLevel="1">
      <c r="A41" s="3"/>
      <c r="B41" s="53" t="s">
        <v>261</v>
      </c>
      <c r="C41" s="56"/>
      <c r="D41" s="51">
        <v>1</v>
      </c>
      <c r="E41" s="69">
        <v>1.77</v>
      </c>
      <c r="F41" s="69"/>
      <c r="G41" s="69">
        <v>1.77</v>
      </c>
      <c r="H41" s="69">
        <v>-1</v>
      </c>
      <c r="I41" s="69">
        <f>PRODUCT(E41:H41)</f>
        <v>-3.1329000000000002</v>
      </c>
      <c r="J41" s="69">
        <f t="shared" si="5"/>
        <v>-3.1329000000000002</v>
      </c>
      <c r="K41" s="2"/>
      <c r="M41" s="52"/>
    </row>
    <row r="42" spans="1:13" outlineLevel="1">
      <c r="A42" s="2"/>
      <c r="B42" s="62" t="s">
        <v>180</v>
      </c>
      <c r="C42" s="55"/>
      <c r="D42" s="2">
        <v>1</v>
      </c>
      <c r="E42" s="70">
        <f>(2290+2715+100+100+1050)/1000</f>
        <v>6.2549999999999999</v>
      </c>
      <c r="F42" s="70"/>
      <c r="G42" s="70">
        <v>2.65</v>
      </c>
      <c r="H42" s="70">
        <v>1</v>
      </c>
      <c r="I42" s="69">
        <f>PRODUCT(E42:H42)</f>
        <v>16.575749999999999</v>
      </c>
      <c r="J42" s="69">
        <f t="shared" si="5"/>
        <v>16.575749999999999</v>
      </c>
      <c r="K42" s="2"/>
      <c r="M42" s="52"/>
    </row>
    <row r="43" spans="1:13" outlineLevel="1">
      <c r="A43" s="3"/>
      <c r="B43" s="32" t="s">
        <v>196</v>
      </c>
      <c r="C43" s="54"/>
      <c r="D43" s="3">
        <v>2</v>
      </c>
      <c r="E43" s="66"/>
      <c r="F43" s="66"/>
      <c r="G43" s="66"/>
      <c r="H43" s="66"/>
      <c r="I43" s="67">
        <f>+SUM(I44:I48)</f>
        <v>15.689449999999997</v>
      </c>
      <c r="J43" s="67">
        <f t="shared" si="5"/>
        <v>31.378899999999994</v>
      </c>
      <c r="K43" s="2" t="s">
        <v>204</v>
      </c>
      <c r="M43" s="52"/>
    </row>
    <row r="44" spans="1:13" outlineLevel="1">
      <c r="A44" s="2"/>
      <c r="B44" s="62" t="s">
        <v>177</v>
      </c>
      <c r="C44" s="55"/>
      <c r="D44" s="2">
        <v>1</v>
      </c>
      <c r="E44" s="70">
        <f>(100+450+2700)/1000</f>
        <v>3.25</v>
      </c>
      <c r="F44" s="70"/>
      <c r="G44" s="70">
        <v>2.65</v>
      </c>
      <c r="H44" s="70">
        <v>1</v>
      </c>
      <c r="I44" s="69">
        <f>PRODUCT(E44:H44)</f>
        <v>8.6124999999999989</v>
      </c>
      <c r="J44" s="69">
        <f t="shared" si="5"/>
        <v>8.6124999999999989</v>
      </c>
      <c r="K44" s="2"/>
      <c r="M44" s="52"/>
    </row>
    <row r="45" spans="1:13" outlineLevel="1">
      <c r="A45" s="3"/>
      <c r="B45" s="53" t="s">
        <v>261</v>
      </c>
      <c r="C45" s="56"/>
      <c r="D45" s="51">
        <v>1</v>
      </c>
      <c r="E45" s="69">
        <v>1.77</v>
      </c>
      <c r="F45" s="69"/>
      <c r="G45" s="69">
        <v>1.77</v>
      </c>
      <c r="H45" s="69">
        <v>-1</v>
      </c>
      <c r="I45" s="69">
        <f>PRODUCT(E45:H45)</f>
        <v>-3.1329000000000002</v>
      </c>
      <c r="J45" s="69">
        <f t="shared" si="5"/>
        <v>-3.1329000000000002</v>
      </c>
      <c r="K45" s="2"/>
      <c r="M45" s="52"/>
    </row>
    <row r="46" spans="1:13" outlineLevel="1">
      <c r="A46" s="2"/>
      <c r="B46" s="53" t="s">
        <v>179</v>
      </c>
      <c r="C46" s="56"/>
      <c r="D46" s="51">
        <v>1</v>
      </c>
      <c r="E46" s="69">
        <v>3.05</v>
      </c>
      <c r="F46" s="69"/>
      <c r="G46" s="69">
        <v>2.65</v>
      </c>
      <c r="H46" s="69">
        <v>1</v>
      </c>
      <c r="I46" s="69">
        <f>PRODUCT(E46:H46)</f>
        <v>8.0824999999999996</v>
      </c>
      <c r="J46" s="69">
        <f t="shared" si="5"/>
        <v>8.0824999999999996</v>
      </c>
      <c r="K46" s="2"/>
      <c r="M46" s="52"/>
    </row>
    <row r="47" spans="1:13" outlineLevel="1">
      <c r="A47" s="3"/>
      <c r="B47" s="53" t="s">
        <v>261</v>
      </c>
      <c r="C47" s="56"/>
      <c r="D47" s="51">
        <v>1</v>
      </c>
      <c r="E47" s="69">
        <v>1.77</v>
      </c>
      <c r="F47" s="69"/>
      <c r="G47" s="69">
        <v>1.77</v>
      </c>
      <c r="H47" s="69">
        <v>-1</v>
      </c>
      <c r="I47" s="69">
        <f>PRODUCT(E47:H47)</f>
        <v>-3.1329000000000002</v>
      </c>
      <c r="J47" s="69">
        <f t="shared" si="5"/>
        <v>-3.1329000000000002</v>
      </c>
      <c r="K47" s="2"/>
      <c r="M47" s="52"/>
    </row>
    <row r="48" spans="1:13" outlineLevel="1">
      <c r="A48" s="2"/>
      <c r="B48" s="53" t="s">
        <v>180</v>
      </c>
      <c r="C48" s="56"/>
      <c r="D48" s="51">
        <v>1</v>
      </c>
      <c r="E48" s="69">
        <f>(600+330+1055)/1000</f>
        <v>1.9850000000000001</v>
      </c>
      <c r="F48" s="69"/>
      <c r="G48" s="69">
        <v>2.65</v>
      </c>
      <c r="H48" s="69">
        <v>1</v>
      </c>
      <c r="I48" s="69">
        <f>PRODUCT(E48:H48)</f>
        <v>5.2602500000000001</v>
      </c>
      <c r="J48" s="69">
        <f t="shared" si="5"/>
        <v>5.2602500000000001</v>
      </c>
      <c r="K48" s="2"/>
      <c r="M48" s="52"/>
    </row>
    <row r="49" spans="1:14" s="4" customFormat="1" ht="14.25" outlineLevel="1">
      <c r="A49" s="3"/>
      <c r="B49" s="32" t="s">
        <v>101</v>
      </c>
      <c r="C49" s="54"/>
      <c r="D49" s="3">
        <v>2</v>
      </c>
      <c r="E49" s="66"/>
      <c r="F49" s="66"/>
      <c r="G49" s="66"/>
      <c r="H49" s="66"/>
      <c r="I49" s="67">
        <f>+SUM(I50:I60)</f>
        <v>56.252699999999997</v>
      </c>
      <c r="J49" s="67">
        <f t="shared" si="5"/>
        <v>112.50539999999999</v>
      </c>
      <c r="K49" s="3"/>
      <c r="M49" s="63"/>
    </row>
    <row r="50" spans="1:14" outlineLevel="1">
      <c r="A50" s="2"/>
      <c r="B50" s="53"/>
      <c r="C50" s="56"/>
      <c r="D50" s="51">
        <v>1</v>
      </c>
      <c r="E50" s="69">
        <v>1.6</v>
      </c>
      <c r="F50" s="69"/>
      <c r="G50" s="69">
        <v>2.5</v>
      </c>
      <c r="H50" s="69">
        <v>2</v>
      </c>
      <c r="I50" s="69">
        <f t="shared" ref="I50:I55" si="6">PRODUCT(E50:H50)</f>
        <v>8</v>
      </c>
      <c r="J50" s="69">
        <f t="shared" si="5"/>
        <v>8</v>
      </c>
      <c r="K50" s="2"/>
      <c r="M50" s="52"/>
    </row>
    <row r="51" spans="1:14" outlineLevel="1">
      <c r="A51" s="2"/>
      <c r="B51" s="53" t="s">
        <v>276</v>
      </c>
      <c r="C51" s="56"/>
      <c r="D51" s="51">
        <v>1</v>
      </c>
      <c r="E51" s="69">
        <v>1.4</v>
      </c>
      <c r="F51" s="69"/>
      <c r="G51" s="69">
        <v>2.5</v>
      </c>
      <c r="H51" s="69">
        <v>-1</v>
      </c>
      <c r="I51" s="69">
        <f t="shared" si="6"/>
        <v>-3.5</v>
      </c>
      <c r="J51" s="69">
        <f t="shared" si="5"/>
        <v>-3.5</v>
      </c>
      <c r="K51" s="2"/>
      <c r="M51" s="52"/>
    </row>
    <row r="52" spans="1:14" outlineLevel="1">
      <c r="A52" s="2"/>
      <c r="B52" s="53"/>
      <c r="C52" s="56"/>
      <c r="D52" s="51">
        <v>1</v>
      </c>
      <c r="E52" s="69">
        <f>16*0.3</f>
        <v>4.8</v>
      </c>
      <c r="F52" s="69"/>
      <c r="G52" s="69">
        <v>2.5</v>
      </c>
      <c r="H52" s="69">
        <v>1</v>
      </c>
      <c r="I52" s="69">
        <f t="shared" si="6"/>
        <v>12</v>
      </c>
      <c r="J52" s="69">
        <f t="shared" si="5"/>
        <v>12</v>
      </c>
      <c r="K52" s="2"/>
      <c r="M52" s="52"/>
    </row>
    <row r="53" spans="1:14" outlineLevel="1">
      <c r="A53" s="2"/>
      <c r="B53" s="53"/>
      <c r="C53" s="56"/>
      <c r="D53" s="51">
        <v>1</v>
      </c>
      <c r="E53" s="69">
        <f>(2700+5400+3200)/1000</f>
        <v>11.3</v>
      </c>
      <c r="F53" s="69"/>
      <c r="G53" s="69">
        <v>2.5</v>
      </c>
      <c r="H53" s="69">
        <v>1</v>
      </c>
      <c r="I53" s="69">
        <f t="shared" si="6"/>
        <v>28.25</v>
      </c>
      <c r="J53" s="69">
        <f t="shared" si="5"/>
        <v>28.25</v>
      </c>
      <c r="K53" s="2"/>
      <c r="M53" s="52"/>
    </row>
    <row r="54" spans="1:14" outlineLevel="1">
      <c r="A54" s="2"/>
      <c r="B54" s="53" t="s">
        <v>13</v>
      </c>
      <c r="C54" s="56"/>
      <c r="D54" s="51">
        <v>1</v>
      </c>
      <c r="E54" s="69">
        <v>1.33</v>
      </c>
      <c r="F54" s="69"/>
      <c r="G54" s="69">
        <v>2.2000000000000002</v>
      </c>
      <c r="H54" s="69">
        <v>-2</v>
      </c>
      <c r="I54" s="69">
        <f t="shared" si="6"/>
        <v>-5.8520000000000012</v>
      </c>
      <c r="J54" s="69">
        <f t="shared" si="5"/>
        <v>-5.8520000000000012</v>
      </c>
      <c r="K54" s="2"/>
      <c r="M54" s="52"/>
    </row>
    <row r="55" spans="1:14" outlineLevel="1">
      <c r="A55" s="2"/>
      <c r="B55" s="53"/>
      <c r="C55" s="56"/>
      <c r="D55" s="51">
        <v>1</v>
      </c>
      <c r="E55" s="69">
        <v>0.8</v>
      </c>
      <c r="F55" s="69"/>
      <c r="G55" s="69">
        <v>2.2000000000000002</v>
      </c>
      <c r="H55" s="69">
        <v>-2</v>
      </c>
      <c r="I55" s="69">
        <f t="shared" si="6"/>
        <v>-3.5200000000000005</v>
      </c>
      <c r="J55" s="69">
        <f t="shared" si="5"/>
        <v>-3.5200000000000005</v>
      </c>
      <c r="K55" s="2"/>
      <c r="M55" s="52"/>
    </row>
    <row r="56" spans="1:14" outlineLevel="1">
      <c r="A56" s="2"/>
      <c r="B56" s="53"/>
      <c r="C56" s="56"/>
      <c r="D56" s="51">
        <v>1</v>
      </c>
      <c r="E56" s="69">
        <f>(1035+1610+150+1800+1600+1800+150+1440)/1000</f>
        <v>9.5850000000000009</v>
      </c>
      <c r="F56" s="69"/>
      <c r="G56" s="69">
        <v>2.5</v>
      </c>
      <c r="H56" s="69">
        <v>1</v>
      </c>
      <c r="I56" s="69">
        <f t="shared" ref="I56:I59" si="7">PRODUCT(E56:H56)</f>
        <v>23.962500000000002</v>
      </c>
      <c r="J56" s="69">
        <f t="shared" ref="J56:J59" si="8">I56*D56</f>
        <v>23.962500000000002</v>
      </c>
      <c r="K56" s="2"/>
      <c r="M56" s="52"/>
    </row>
    <row r="57" spans="1:14" outlineLevel="1">
      <c r="A57" s="2"/>
      <c r="B57" s="53" t="s">
        <v>277</v>
      </c>
      <c r="C57" s="56"/>
      <c r="D57" s="51">
        <v>1</v>
      </c>
      <c r="E57" s="69">
        <v>1.07</v>
      </c>
      <c r="F57" s="69"/>
      <c r="G57" s="69">
        <v>1.77</v>
      </c>
      <c r="H57" s="69">
        <v>-2</v>
      </c>
      <c r="I57" s="69">
        <f t="shared" si="7"/>
        <v>-3.7878000000000003</v>
      </c>
      <c r="J57" s="69">
        <f t="shared" si="8"/>
        <v>-3.7878000000000003</v>
      </c>
      <c r="K57" s="2"/>
      <c r="M57" s="52"/>
    </row>
    <row r="58" spans="1:14" outlineLevel="1">
      <c r="A58" s="2"/>
      <c r="B58" s="53"/>
      <c r="C58" s="56" t="s">
        <v>274</v>
      </c>
      <c r="D58" s="51">
        <v>1</v>
      </c>
      <c r="E58" s="69">
        <v>1.6</v>
      </c>
      <c r="F58" s="69"/>
      <c r="G58" s="69">
        <v>2.5</v>
      </c>
      <c r="H58" s="69">
        <v>1</v>
      </c>
      <c r="I58" s="69">
        <f t="shared" si="7"/>
        <v>4</v>
      </c>
      <c r="J58" s="69">
        <f t="shared" si="8"/>
        <v>4</v>
      </c>
      <c r="K58" s="2"/>
      <c r="M58" s="52"/>
    </row>
    <row r="59" spans="1:14" outlineLevel="1">
      <c r="A59" s="2"/>
      <c r="B59" s="53"/>
      <c r="C59" s="56"/>
      <c r="D59" s="51">
        <v>1</v>
      </c>
      <c r="E59" s="69">
        <v>1.5</v>
      </c>
      <c r="F59" s="69"/>
      <c r="G59" s="69">
        <v>2.2000000000000002</v>
      </c>
      <c r="H59" s="69">
        <v>-1</v>
      </c>
      <c r="I59" s="69">
        <f t="shared" si="7"/>
        <v>-3.3000000000000003</v>
      </c>
      <c r="J59" s="69">
        <f t="shared" si="8"/>
        <v>-3.3000000000000003</v>
      </c>
      <c r="K59" s="2"/>
      <c r="M59" s="52"/>
    </row>
    <row r="60" spans="1:14" outlineLevel="1">
      <c r="A60" s="2"/>
      <c r="B60" s="32" t="s">
        <v>278</v>
      </c>
      <c r="C60" s="56"/>
      <c r="D60" s="51"/>
      <c r="E60" s="69"/>
      <c r="F60" s="69"/>
      <c r="G60" s="69"/>
      <c r="H60" s="69"/>
      <c r="I60" s="69"/>
      <c r="J60" s="67">
        <f>+THKL!D43</f>
        <v>508.06549999999993</v>
      </c>
      <c r="K60" s="2"/>
      <c r="M60" s="52"/>
    </row>
    <row r="61" spans="1:14">
      <c r="A61" s="58">
        <v>2</v>
      </c>
      <c r="B61" s="59" t="s">
        <v>173</v>
      </c>
      <c r="C61" s="60"/>
      <c r="D61" s="58">
        <v>8</v>
      </c>
      <c r="E61" s="68"/>
      <c r="F61" s="68"/>
      <c r="G61" s="68"/>
      <c r="H61" s="68"/>
      <c r="I61" s="68">
        <f>+J62+J69+J74+J79+J85+J90+J94+J100+J111</f>
        <v>1512.5328999999999</v>
      </c>
      <c r="J61" s="68">
        <f>+D61*I61</f>
        <v>12100.263199999999</v>
      </c>
      <c r="K61" s="61"/>
      <c r="M61" s="52"/>
    </row>
    <row r="62" spans="1:14" ht="29.25" outlineLevel="1">
      <c r="A62" s="3"/>
      <c r="B62" s="32" t="s">
        <v>190</v>
      </c>
      <c r="C62" s="54"/>
      <c r="D62" s="3">
        <v>8</v>
      </c>
      <c r="E62" s="66"/>
      <c r="F62" s="66"/>
      <c r="G62" s="66"/>
      <c r="H62" s="66"/>
      <c r="I62" s="67">
        <f>+SUM(I63:I68)</f>
        <v>34.473050000000001</v>
      </c>
      <c r="J62" s="67">
        <f>+D62*I62</f>
        <v>275.78440000000001</v>
      </c>
      <c r="K62" s="2"/>
      <c r="M62" s="52"/>
      <c r="N62" s="52"/>
    </row>
    <row r="63" spans="1:14" outlineLevel="1">
      <c r="A63" s="3"/>
      <c r="B63" s="53" t="s">
        <v>177</v>
      </c>
      <c r="C63" s="56"/>
      <c r="D63" s="51">
        <v>1</v>
      </c>
      <c r="E63" s="69">
        <f>(1300+150+1850+2550+150+200)/1000</f>
        <v>6.2</v>
      </c>
      <c r="F63" s="69"/>
      <c r="G63" s="69">
        <v>2.65</v>
      </c>
      <c r="H63" s="69">
        <v>1</v>
      </c>
      <c r="I63" s="69">
        <f t="shared" ref="I63:I68" si="9">PRODUCT(E63:H63)</f>
        <v>16.43</v>
      </c>
      <c r="J63" s="69">
        <f t="shared" ref="J63:J68" si="10">I63*D63</f>
        <v>16.43</v>
      </c>
      <c r="K63" s="2" t="s">
        <v>197</v>
      </c>
      <c r="M63" s="52"/>
    </row>
    <row r="64" spans="1:14" outlineLevel="1">
      <c r="A64" s="3"/>
      <c r="B64" s="53" t="s">
        <v>261</v>
      </c>
      <c r="C64" s="56"/>
      <c r="D64" s="51">
        <v>1</v>
      </c>
      <c r="E64" s="69">
        <v>1.77</v>
      </c>
      <c r="F64" s="69"/>
      <c r="G64" s="69">
        <v>1.77</v>
      </c>
      <c r="H64" s="69">
        <v>-1</v>
      </c>
      <c r="I64" s="69">
        <f t="shared" si="9"/>
        <v>-3.1329000000000002</v>
      </c>
      <c r="J64" s="69">
        <f t="shared" si="10"/>
        <v>-3.1329000000000002</v>
      </c>
      <c r="K64" s="2"/>
      <c r="M64" s="52"/>
    </row>
    <row r="65" spans="1:13" outlineLevel="1">
      <c r="A65" s="3"/>
      <c r="B65" s="53" t="s">
        <v>179</v>
      </c>
      <c r="C65" s="56"/>
      <c r="D65" s="51">
        <v>1</v>
      </c>
      <c r="E65" s="69">
        <f>(2850+2250+100)/1000</f>
        <v>5.2</v>
      </c>
      <c r="F65" s="69"/>
      <c r="G65" s="69">
        <v>2.65</v>
      </c>
      <c r="H65" s="69">
        <v>1</v>
      </c>
      <c r="I65" s="69">
        <f t="shared" si="9"/>
        <v>13.78</v>
      </c>
      <c r="J65" s="69">
        <f t="shared" si="10"/>
        <v>13.78</v>
      </c>
      <c r="K65" s="2"/>
      <c r="M65" s="52"/>
    </row>
    <row r="66" spans="1:13" outlineLevel="1">
      <c r="A66" s="3"/>
      <c r="B66" s="53" t="s">
        <v>261</v>
      </c>
      <c r="C66" s="56"/>
      <c r="D66" s="51">
        <v>1</v>
      </c>
      <c r="E66" s="69">
        <v>1.77</v>
      </c>
      <c r="F66" s="69"/>
      <c r="G66" s="69">
        <v>1.77</v>
      </c>
      <c r="H66" s="69">
        <v>-1</v>
      </c>
      <c r="I66" s="69">
        <f t="shared" si="9"/>
        <v>-3.1329000000000002</v>
      </c>
      <c r="J66" s="69">
        <f t="shared" si="10"/>
        <v>-3.1329000000000002</v>
      </c>
      <c r="K66" s="2"/>
      <c r="M66" s="52"/>
    </row>
    <row r="67" spans="1:13" outlineLevel="1">
      <c r="A67" s="3"/>
      <c r="B67" s="53" t="s">
        <v>180</v>
      </c>
      <c r="C67" s="56"/>
      <c r="D67" s="51">
        <v>1</v>
      </c>
      <c r="E67" s="69">
        <f>(1950+330+590+1170+650+150+65+50)/1000</f>
        <v>4.9550000000000001</v>
      </c>
      <c r="F67" s="69"/>
      <c r="G67" s="69">
        <v>2.65</v>
      </c>
      <c r="H67" s="69">
        <v>1</v>
      </c>
      <c r="I67" s="69">
        <f t="shared" si="9"/>
        <v>13.130749999999999</v>
      </c>
      <c r="J67" s="69">
        <f t="shared" si="10"/>
        <v>13.130749999999999</v>
      </c>
      <c r="K67" s="2"/>
      <c r="M67" s="52"/>
    </row>
    <row r="68" spans="1:13" outlineLevel="1">
      <c r="A68" s="3"/>
      <c r="B68" s="53" t="s">
        <v>275</v>
      </c>
      <c r="C68" s="56"/>
      <c r="D68" s="51">
        <v>1</v>
      </c>
      <c r="E68" s="69">
        <v>1.47</v>
      </c>
      <c r="F68" s="69"/>
      <c r="G68" s="69">
        <v>1.77</v>
      </c>
      <c r="H68" s="69">
        <v>-1</v>
      </c>
      <c r="I68" s="69">
        <f t="shared" si="9"/>
        <v>-2.6019000000000001</v>
      </c>
      <c r="J68" s="69">
        <f t="shared" si="10"/>
        <v>-2.6019000000000001</v>
      </c>
      <c r="K68" s="2"/>
      <c r="M68" s="52"/>
    </row>
    <row r="69" spans="1:13" ht="43.5" outlineLevel="1">
      <c r="A69" s="3"/>
      <c r="B69" s="32" t="s">
        <v>192</v>
      </c>
      <c r="C69" s="54" t="s">
        <v>12</v>
      </c>
      <c r="D69" s="3">
        <v>18</v>
      </c>
      <c r="E69" s="66"/>
      <c r="F69" s="66"/>
      <c r="G69" s="66"/>
      <c r="H69" s="66"/>
      <c r="I69" s="67">
        <f>+SUM(I70:I73)</f>
        <v>16.304849999999998</v>
      </c>
      <c r="J69" s="67">
        <f>+D69*I69</f>
        <v>293.48729999999995</v>
      </c>
      <c r="K69" s="2"/>
      <c r="M69" s="52"/>
    </row>
    <row r="70" spans="1:13" outlineLevel="1">
      <c r="A70" s="3"/>
      <c r="B70" s="53" t="s">
        <v>177</v>
      </c>
      <c r="C70" s="56"/>
      <c r="D70" s="51">
        <v>1</v>
      </c>
      <c r="E70" s="69">
        <v>3</v>
      </c>
      <c r="F70" s="69"/>
      <c r="G70" s="69">
        <v>2.65</v>
      </c>
      <c r="H70" s="69">
        <v>1</v>
      </c>
      <c r="I70" s="69">
        <f t="shared" ref="I70" si="11">PRODUCT(E70:H70)</f>
        <v>7.9499999999999993</v>
      </c>
      <c r="J70" s="69">
        <f t="shared" ref="J70" si="12">I70*D70</f>
        <v>7.9499999999999993</v>
      </c>
      <c r="K70" s="2" t="s">
        <v>198</v>
      </c>
      <c r="M70" s="52"/>
    </row>
    <row r="71" spans="1:13" outlineLevel="1">
      <c r="A71" s="3"/>
      <c r="B71" s="53" t="s">
        <v>261</v>
      </c>
      <c r="C71" s="56"/>
      <c r="D71" s="51">
        <v>1</v>
      </c>
      <c r="E71" s="69">
        <v>1.77</v>
      </c>
      <c r="F71" s="69"/>
      <c r="G71" s="69">
        <v>1.77</v>
      </c>
      <c r="H71" s="69">
        <v>-1</v>
      </c>
      <c r="I71" s="69">
        <f>PRODUCT(E71:H71)</f>
        <v>-3.1329000000000002</v>
      </c>
      <c r="J71" s="69">
        <f>I71*D71</f>
        <v>-3.1329000000000002</v>
      </c>
      <c r="K71" s="2"/>
      <c r="M71" s="52"/>
    </row>
    <row r="72" spans="1:13" outlineLevel="1">
      <c r="A72" s="3"/>
      <c r="B72" s="53" t="s">
        <v>179</v>
      </c>
      <c r="C72" s="56"/>
      <c r="D72" s="51">
        <v>1</v>
      </c>
      <c r="E72" s="69">
        <f>(2717+100)/1000</f>
        <v>2.8170000000000002</v>
      </c>
      <c r="F72" s="69"/>
      <c r="G72" s="69">
        <v>2.65</v>
      </c>
      <c r="H72" s="69">
        <v>1</v>
      </c>
      <c r="I72" s="69">
        <f t="shared" ref="I72:I73" si="13">PRODUCT(E72:H72)</f>
        <v>7.4650500000000006</v>
      </c>
      <c r="J72" s="69">
        <f t="shared" ref="J72:J73" si="14">I72*D72</f>
        <v>7.4650500000000006</v>
      </c>
      <c r="K72" s="2"/>
      <c r="M72" s="52"/>
    </row>
    <row r="73" spans="1:13" outlineLevel="1">
      <c r="A73" s="3"/>
      <c r="B73" s="53" t="s">
        <v>180</v>
      </c>
      <c r="C73" s="56"/>
      <c r="D73" s="51">
        <v>1</v>
      </c>
      <c r="E73" s="69">
        <f>(65+100+100+1253)/1000</f>
        <v>1.518</v>
      </c>
      <c r="F73" s="69"/>
      <c r="G73" s="69">
        <v>2.65</v>
      </c>
      <c r="H73" s="69">
        <v>1</v>
      </c>
      <c r="I73" s="69">
        <f t="shared" si="13"/>
        <v>4.0226999999999995</v>
      </c>
      <c r="J73" s="69">
        <f t="shared" si="14"/>
        <v>4.0226999999999995</v>
      </c>
      <c r="K73" s="2"/>
      <c r="M73" s="52"/>
    </row>
    <row r="74" spans="1:13" outlineLevel="1">
      <c r="A74" s="3"/>
      <c r="B74" s="32" t="s">
        <v>191</v>
      </c>
      <c r="C74" s="54" t="s">
        <v>12</v>
      </c>
      <c r="D74" s="3">
        <v>2</v>
      </c>
      <c r="E74" s="66"/>
      <c r="F74" s="66"/>
      <c r="G74" s="66"/>
      <c r="H74" s="66"/>
      <c r="I74" s="67">
        <f>+SUM(I75:I78)</f>
        <v>16.940850000000001</v>
      </c>
      <c r="J74" s="67">
        <f t="shared" ref="J74:J84" si="15">I74*D74</f>
        <v>33.881700000000002</v>
      </c>
      <c r="K74" s="2" t="s">
        <v>200</v>
      </c>
      <c r="M74" s="52"/>
    </row>
    <row r="75" spans="1:13" outlineLevel="1">
      <c r="A75" s="2"/>
      <c r="B75" s="62" t="s">
        <v>177</v>
      </c>
      <c r="C75" s="55"/>
      <c r="D75" s="2">
        <v>1</v>
      </c>
      <c r="E75" s="70">
        <f>(100+1050+2960)/1000</f>
        <v>4.1100000000000003</v>
      </c>
      <c r="F75" s="70"/>
      <c r="G75" s="70">
        <v>2.65</v>
      </c>
      <c r="H75" s="70">
        <v>1</v>
      </c>
      <c r="I75" s="69">
        <f>PRODUCT(E75:H75)</f>
        <v>10.891500000000001</v>
      </c>
      <c r="J75" s="69">
        <f t="shared" si="15"/>
        <v>10.891500000000001</v>
      </c>
      <c r="K75" s="2"/>
      <c r="M75" s="52"/>
    </row>
    <row r="76" spans="1:13" outlineLevel="1">
      <c r="A76" s="3"/>
      <c r="B76" s="53" t="s">
        <v>261</v>
      </c>
      <c r="C76" s="56"/>
      <c r="D76" s="51">
        <v>1</v>
      </c>
      <c r="E76" s="69">
        <v>1.77</v>
      </c>
      <c r="F76" s="69"/>
      <c r="G76" s="69">
        <v>1.77</v>
      </c>
      <c r="H76" s="69">
        <v>-1</v>
      </c>
      <c r="I76" s="69">
        <f>PRODUCT(E76:H76)</f>
        <v>-3.1329000000000002</v>
      </c>
      <c r="J76" s="69">
        <f t="shared" si="15"/>
        <v>-3.1329000000000002</v>
      </c>
      <c r="K76" s="2"/>
      <c r="M76" s="52"/>
    </row>
    <row r="77" spans="1:13" outlineLevel="1">
      <c r="A77" s="3"/>
      <c r="B77" s="53" t="s">
        <v>179</v>
      </c>
      <c r="C77" s="56"/>
      <c r="D77" s="51">
        <v>1</v>
      </c>
      <c r="E77" s="69">
        <f>(50+100+100+365)/1000</f>
        <v>0.61499999999999999</v>
      </c>
      <c r="F77" s="69"/>
      <c r="G77" s="69">
        <v>2.65</v>
      </c>
      <c r="H77" s="69">
        <v>1</v>
      </c>
      <c r="I77" s="69">
        <f>PRODUCT(E77:H77)</f>
        <v>1.62975</v>
      </c>
      <c r="J77" s="69">
        <f t="shared" si="15"/>
        <v>1.62975</v>
      </c>
      <c r="K77" s="2"/>
      <c r="M77" s="52"/>
    </row>
    <row r="78" spans="1:13" outlineLevel="1">
      <c r="A78" s="2"/>
      <c r="B78" s="62" t="s">
        <v>180</v>
      </c>
      <c r="C78" s="55"/>
      <c r="D78" s="2">
        <v>1</v>
      </c>
      <c r="E78" s="70">
        <f>(330+1920+600)/1000</f>
        <v>2.85</v>
      </c>
      <c r="F78" s="70"/>
      <c r="G78" s="70">
        <v>2.65</v>
      </c>
      <c r="H78" s="70">
        <v>1</v>
      </c>
      <c r="I78" s="69">
        <f>PRODUCT(E78:H78)</f>
        <v>7.5525000000000002</v>
      </c>
      <c r="J78" s="69">
        <f t="shared" si="15"/>
        <v>7.5525000000000002</v>
      </c>
      <c r="K78" s="2"/>
      <c r="M78" s="52"/>
    </row>
    <row r="79" spans="1:13" outlineLevel="1">
      <c r="A79" s="3"/>
      <c r="B79" s="32" t="s">
        <v>193</v>
      </c>
      <c r="C79" s="54"/>
      <c r="D79" s="3">
        <v>4</v>
      </c>
      <c r="E79" s="66"/>
      <c r="F79" s="66"/>
      <c r="G79" s="66"/>
      <c r="H79" s="66"/>
      <c r="I79" s="67">
        <f>+SUM(I80:I84)</f>
        <v>31.16545</v>
      </c>
      <c r="J79" s="67">
        <f t="shared" si="15"/>
        <v>124.6618</v>
      </c>
      <c r="K79" s="2" t="s">
        <v>202</v>
      </c>
      <c r="M79" s="52"/>
    </row>
    <row r="80" spans="1:13" outlineLevel="1">
      <c r="A80" s="2"/>
      <c r="B80" s="62" t="s">
        <v>262</v>
      </c>
      <c r="C80" s="55"/>
      <c r="D80" s="2">
        <v>1</v>
      </c>
      <c r="E80" s="70">
        <f>(2800+4850)/1000</f>
        <v>7.65</v>
      </c>
      <c r="F80" s="70"/>
      <c r="G80" s="70">
        <v>2.65</v>
      </c>
      <c r="H80" s="70">
        <v>1</v>
      </c>
      <c r="I80" s="69">
        <f>PRODUCT(E80:H80)</f>
        <v>20.272500000000001</v>
      </c>
      <c r="J80" s="69">
        <f t="shared" si="15"/>
        <v>20.272500000000001</v>
      </c>
      <c r="K80" s="2"/>
      <c r="M80" s="52"/>
    </row>
    <row r="81" spans="1:13" outlineLevel="1">
      <c r="A81" s="3"/>
      <c r="B81" s="53" t="s">
        <v>261</v>
      </c>
      <c r="C81" s="56"/>
      <c r="D81" s="51">
        <v>1</v>
      </c>
      <c r="E81" s="69">
        <v>1.77</v>
      </c>
      <c r="F81" s="69"/>
      <c r="G81" s="69">
        <v>1.77</v>
      </c>
      <c r="H81" s="69">
        <v>-1</v>
      </c>
      <c r="I81" s="69">
        <f>PRODUCT(E81:H81)</f>
        <v>-3.1329000000000002</v>
      </c>
      <c r="J81" s="69">
        <f t="shared" si="15"/>
        <v>-3.1329000000000002</v>
      </c>
      <c r="K81" s="2"/>
      <c r="M81" s="52"/>
    </row>
    <row r="82" spans="1:13" outlineLevel="1">
      <c r="A82" s="2"/>
      <c r="B82" s="62" t="s">
        <v>179</v>
      </c>
      <c r="C82" s="55"/>
      <c r="D82" s="2">
        <v>1</v>
      </c>
      <c r="E82" s="70">
        <f>(75+2250+3050)/1000</f>
        <v>5.375</v>
      </c>
      <c r="F82" s="70"/>
      <c r="G82" s="70">
        <v>2.65</v>
      </c>
      <c r="H82" s="70">
        <v>1</v>
      </c>
      <c r="I82" s="69">
        <f>PRODUCT(E82:H82)</f>
        <v>14.24375</v>
      </c>
      <c r="J82" s="69">
        <f t="shared" si="15"/>
        <v>14.24375</v>
      </c>
      <c r="K82" s="2"/>
      <c r="M82" s="52"/>
    </row>
    <row r="83" spans="1:13" outlineLevel="1">
      <c r="A83" s="3"/>
      <c r="B83" s="53" t="s">
        <v>261</v>
      </c>
      <c r="C83" s="56"/>
      <c r="D83" s="51">
        <v>1</v>
      </c>
      <c r="E83" s="69">
        <v>1.77</v>
      </c>
      <c r="F83" s="69"/>
      <c r="G83" s="69">
        <v>1.77</v>
      </c>
      <c r="H83" s="69">
        <v>-1</v>
      </c>
      <c r="I83" s="69">
        <f>PRODUCT(E83:H83)</f>
        <v>-3.1329000000000002</v>
      </c>
      <c r="J83" s="69">
        <f t="shared" si="15"/>
        <v>-3.1329000000000002</v>
      </c>
      <c r="K83" s="2"/>
      <c r="M83" s="52"/>
    </row>
    <row r="84" spans="1:13" outlineLevel="1">
      <c r="A84" s="3"/>
      <c r="B84" s="53" t="s">
        <v>180</v>
      </c>
      <c r="C84" s="56"/>
      <c r="D84" s="51">
        <v>1</v>
      </c>
      <c r="E84" s="69">
        <f>(500+385+215)/1000</f>
        <v>1.1000000000000001</v>
      </c>
      <c r="F84" s="69"/>
      <c r="G84" s="69">
        <v>2.65</v>
      </c>
      <c r="H84" s="69">
        <v>1</v>
      </c>
      <c r="I84" s="69">
        <f>PRODUCT(E84:H84)</f>
        <v>2.915</v>
      </c>
      <c r="J84" s="69">
        <f t="shared" si="15"/>
        <v>2.915</v>
      </c>
      <c r="K84" s="2"/>
      <c r="M84" s="52"/>
    </row>
    <row r="85" spans="1:13" outlineLevel="1">
      <c r="A85" s="3"/>
      <c r="B85" s="32" t="s">
        <v>194</v>
      </c>
      <c r="C85" s="54"/>
      <c r="D85" s="3">
        <v>2</v>
      </c>
      <c r="E85" s="66"/>
      <c r="F85" s="66"/>
      <c r="G85" s="66"/>
      <c r="H85" s="66"/>
      <c r="I85" s="67">
        <f>+SUM(I86:I89)</f>
        <v>33.331099999999999</v>
      </c>
      <c r="J85" s="67">
        <f>+D85*I85</f>
        <v>66.662199999999999</v>
      </c>
      <c r="K85" s="2"/>
      <c r="M85" s="52"/>
    </row>
    <row r="86" spans="1:13" outlineLevel="1">
      <c r="A86" s="3"/>
      <c r="B86" s="53" t="s">
        <v>177</v>
      </c>
      <c r="C86" s="56"/>
      <c r="D86" s="51">
        <v>1</v>
      </c>
      <c r="E86" s="69">
        <f>(3000+1850+1700+150)/1000</f>
        <v>6.7</v>
      </c>
      <c r="F86" s="69"/>
      <c r="G86" s="69">
        <v>2.65</v>
      </c>
      <c r="H86" s="69">
        <v>1</v>
      </c>
      <c r="I86" s="69">
        <f>PRODUCT(E86:H86)</f>
        <v>17.754999999999999</v>
      </c>
      <c r="J86" s="69">
        <f t="shared" ref="J86:J106" si="16">I86*D86</f>
        <v>17.754999999999999</v>
      </c>
      <c r="K86" s="2" t="s">
        <v>199</v>
      </c>
      <c r="M86" s="52"/>
    </row>
    <row r="87" spans="1:13" outlineLevel="1">
      <c r="A87" s="3"/>
      <c r="B87" s="53" t="s">
        <v>261</v>
      </c>
      <c r="C87" s="56"/>
      <c r="D87" s="51">
        <v>1</v>
      </c>
      <c r="E87" s="69">
        <v>1.77</v>
      </c>
      <c r="F87" s="69"/>
      <c r="G87" s="69">
        <v>1.77</v>
      </c>
      <c r="H87" s="69">
        <v>-1</v>
      </c>
      <c r="I87" s="69">
        <f>PRODUCT(E87:H87)</f>
        <v>-3.1329000000000002</v>
      </c>
      <c r="J87" s="69">
        <f t="shared" si="16"/>
        <v>-3.1329000000000002</v>
      </c>
      <c r="K87" s="2"/>
      <c r="M87" s="52"/>
    </row>
    <row r="88" spans="1:13" outlineLevel="1">
      <c r="A88" s="3"/>
      <c r="B88" s="53" t="s">
        <v>179</v>
      </c>
      <c r="C88" s="56"/>
      <c r="D88" s="51">
        <v>1</v>
      </c>
      <c r="E88" s="69">
        <f>(1915+690+150)/1000</f>
        <v>2.7549999999999999</v>
      </c>
      <c r="F88" s="69"/>
      <c r="G88" s="69">
        <v>2.65</v>
      </c>
      <c r="H88" s="69">
        <v>1</v>
      </c>
      <c r="I88" s="69">
        <f>PRODUCT(E88:H88)</f>
        <v>7.3007499999999999</v>
      </c>
      <c r="J88" s="69">
        <f t="shared" si="16"/>
        <v>7.3007499999999999</v>
      </c>
      <c r="K88" s="2"/>
      <c r="M88" s="52"/>
    </row>
    <row r="89" spans="1:13" outlineLevel="1">
      <c r="A89" s="3"/>
      <c r="B89" s="53" t="s">
        <v>180</v>
      </c>
      <c r="C89" s="56"/>
      <c r="D89" s="51">
        <v>1</v>
      </c>
      <c r="E89" s="69">
        <f>(485+445+2225+100+100+950)/1000</f>
        <v>4.3049999999999997</v>
      </c>
      <c r="F89" s="69"/>
      <c r="G89" s="69">
        <v>2.65</v>
      </c>
      <c r="H89" s="69">
        <v>1</v>
      </c>
      <c r="I89" s="69">
        <f>PRODUCT(E89:H89)</f>
        <v>11.408249999999999</v>
      </c>
      <c r="J89" s="69">
        <f t="shared" si="16"/>
        <v>11.408249999999999</v>
      </c>
      <c r="K89" s="2"/>
      <c r="M89" s="52"/>
    </row>
    <row r="90" spans="1:13" outlineLevel="1">
      <c r="A90" s="3"/>
      <c r="B90" s="32" t="s">
        <v>195</v>
      </c>
      <c r="C90" s="54"/>
      <c r="D90" s="3">
        <v>2</v>
      </c>
      <c r="E90" s="66"/>
      <c r="F90" s="66"/>
      <c r="G90" s="66"/>
      <c r="H90" s="66"/>
      <c r="I90" s="67">
        <f>+SUM(I91:I93)</f>
        <v>33.052849999999999</v>
      </c>
      <c r="J90" s="67">
        <f t="shared" si="16"/>
        <v>66.105699999999999</v>
      </c>
      <c r="K90" s="2" t="s">
        <v>203</v>
      </c>
      <c r="M90" s="52"/>
    </row>
    <row r="91" spans="1:13" outlineLevel="1">
      <c r="A91" s="2"/>
      <c r="B91" s="62" t="s">
        <v>177</v>
      </c>
      <c r="C91" s="55"/>
      <c r="D91" s="2">
        <v>1</v>
      </c>
      <c r="E91" s="70">
        <f>(3000+1850+150+2400)/1000</f>
        <v>7.4</v>
      </c>
      <c r="F91" s="70"/>
      <c r="G91" s="70">
        <v>2.65</v>
      </c>
      <c r="H91" s="70">
        <v>1</v>
      </c>
      <c r="I91" s="69">
        <f>PRODUCT(E91:H91)</f>
        <v>19.61</v>
      </c>
      <c r="J91" s="69">
        <f t="shared" si="16"/>
        <v>19.61</v>
      </c>
      <c r="K91" s="2"/>
      <c r="M91" s="52"/>
    </row>
    <row r="92" spans="1:13" outlineLevel="1">
      <c r="A92" s="3"/>
      <c r="B92" s="53" t="s">
        <v>261</v>
      </c>
      <c r="C92" s="56"/>
      <c r="D92" s="51">
        <v>1</v>
      </c>
      <c r="E92" s="69">
        <v>1.77</v>
      </c>
      <c r="F92" s="69"/>
      <c r="G92" s="69">
        <v>1.77</v>
      </c>
      <c r="H92" s="69">
        <v>-1</v>
      </c>
      <c r="I92" s="69">
        <f>PRODUCT(E92:H92)</f>
        <v>-3.1329000000000002</v>
      </c>
      <c r="J92" s="69">
        <f t="shared" si="16"/>
        <v>-3.1329000000000002</v>
      </c>
      <c r="K92" s="2"/>
      <c r="M92" s="52"/>
    </row>
    <row r="93" spans="1:13" outlineLevel="1">
      <c r="A93" s="2"/>
      <c r="B93" s="62" t="s">
        <v>180</v>
      </c>
      <c r="C93" s="55"/>
      <c r="D93" s="2">
        <v>1</v>
      </c>
      <c r="E93" s="70">
        <f>(2290+2715+100+100+1050)/1000</f>
        <v>6.2549999999999999</v>
      </c>
      <c r="F93" s="70"/>
      <c r="G93" s="70">
        <v>2.65</v>
      </c>
      <c r="H93" s="70">
        <v>1</v>
      </c>
      <c r="I93" s="69">
        <f>PRODUCT(E93:H93)</f>
        <v>16.575749999999999</v>
      </c>
      <c r="J93" s="69">
        <f t="shared" si="16"/>
        <v>16.575749999999999</v>
      </c>
      <c r="K93" s="2"/>
      <c r="M93" s="52"/>
    </row>
    <row r="94" spans="1:13" outlineLevel="1">
      <c r="A94" s="3"/>
      <c r="B94" s="32" t="s">
        <v>196</v>
      </c>
      <c r="C94" s="54"/>
      <c r="D94" s="3">
        <v>2</v>
      </c>
      <c r="E94" s="66"/>
      <c r="F94" s="66"/>
      <c r="G94" s="66"/>
      <c r="H94" s="66"/>
      <c r="I94" s="67">
        <f>+SUM(I95:I99)</f>
        <v>15.689449999999997</v>
      </c>
      <c r="J94" s="67">
        <f t="shared" si="16"/>
        <v>31.378899999999994</v>
      </c>
      <c r="K94" s="2" t="s">
        <v>204</v>
      </c>
      <c r="M94" s="52"/>
    </row>
    <row r="95" spans="1:13" outlineLevel="1">
      <c r="A95" s="2"/>
      <c r="B95" s="62" t="s">
        <v>177</v>
      </c>
      <c r="C95" s="55"/>
      <c r="D95" s="2">
        <v>1</v>
      </c>
      <c r="E95" s="70">
        <f>(100+450+2700)/1000</f>
        <v>3.25</v>
      </c>
      <c r="F95" s="70"/>
      <c r="G95" s="70">
        <v>2.65</v>
      </c>
      <c r="H95" s="70">
        <v>1</v>
      </c>
      <c r="I95" s="69">
        <f>PRODUCT(E95:H95)</f>
        <v>8.6124999999999989</v>
      </c>
      <c r="J95" s="69">
        <f t="shared" si="16"/>
        <v>8.6124999999999989</v>
      </c>
      <c r="K95" s="2"/>
      <c r="M95" s="52"/>
    </row>
    <row r="96" spans="1:13" outlineLevel="1">
      <c r="A96" s="3"/>
      <c r="B96" s="53" t="s">
        <v>261</v>
      </c>
      <c r="C96" s="56"/>
      <c r="D96" s="51">
        <v>1</v>
      </c>
      <c r="E96" s="69">
        <v>1.77</v>
      </c>
      <c r="F96" s="69"/>
      <c r="G96" s="69">
        <v>1.77</v>
      </c>
      <c r="H96" s="69">
        <v>-1</v>
      </c>
      <c r="I96" s="69">
        <f>PRODUCT(E96:H96)</f>
        <v>-3.1329000000000002</v>
      </c>
      <c r="J96" s="69">
        <f t="shared" si="16"/>
        <v>-3.1329000000000002</v>
      </c>
      <c r="K96" s="2"/>
      <c r="M96" s="52"/>
    </row>
    <row r="97" spans="1:13" outlineLevel="1">
      <c r="A97" s="2"/>
      <c r="B97" s="53" t="s">
        <v>179</v>
      </c>
      <c r="C97" s="56"/>
      <c r="D97" s="51">
        <v>1</v>
      </c>
      <c r="E97" s="69">
        <v>3.05</v>
      </c>
      <c r="F97" s="69"/>
      <c r="G97" s="69">
        <v>2.65</v>
      </c>
      <c r="H97" s="69">
        <v>1</v>
      </c>
      <c r="I97" s="69">
        <f>PRODUCT(E97:H97)</f>
        <v>8.0824999999999996</v>
      </c>
      <c r="J97" s="69">
        <f t="shared" si="16"/>
        <v>8.0824999999999996</v>
      </c>
      <c r="K97" s="2"/>
      <c r="M97" s="52"/>
    </row>
    <row r="98" spans="1:13" outlineLevel="1">
      <c r="A98" s="3"/>
      <c r="B98" s="53" t="s">
        <v>261</v>
      </c>
      <c r="C98" s="56"/>
      <c r="D98" s="51">
        <v>1</v>
      </c>
      <c r="E98" s="69">
        <v>1.77</v>
      </c>
      <c r="F98" s="69"/>
      <c r="G98" s="69">
        <v>1.77</v>
      </c>
      <c r="H98" s="69">
        <v>-1</v>
      </c>
      <c r="I98" s="69">
        <f>PRODUCT(E98:H98)</f>
        <v>-3.1329000000000002</v>
      </c>
      <c r="J98" s="69">
        <f t="shared" si="16"/>
        <v>-3.1329000000000002</v>
      </c>
      <c r="K98" s="2"/>
      <c r="M98" s="52"/>
    </row>
    <row r="99" spans="1:13" outlineLevel="1">
      <c r="A99" s="2"/>
      <c r="B99" s="53" t="s">
        <v>180</v>
      </c>
      <c r="C99" s="56"/>
      <c r="D99" s="51">
        <v>1</v>
      </c>
      <c r="E99" s="69">
        <f>(600+330+1055)/1000</f>
        <v>1.9850000000000001</v>
      </c>
      <c r="F99" s="69"/>
      <c r="G99" s="69">
        <v>2.65</v>
      </c>
      <c r="H99" s="69">
        <v>1</v>
      </c>
      <c r="I99" s="69">
        <f>PRODUCT(E99:H99)</f>
        <v>5.2602500000000001</v>
      </c>
      <c r="J99" s="69">
        <f t="shared" si="16"/>
        <v>5.2602500000000001</v>
      </c>
      <c r="K99" s="2"/>
      <c r="M99" s="52"/>
    </row>
    <row r="100" spans="1:13" s="4" customFormat="1" ht="14.25" outlineLevel="1">
      <c r="A100" s="3"/>
      <c r="B100" s="32" t="s">
        <v>101</v>
      </c>
      <c r="C100" s="54"/>
      <c r="D100" s="3">
        <v>2</v>
      </c>
      <c r="E100" s="66"/>
      <c r="F100" s="66"/>
      <c r="G100" s="66"/>
      <c r="H100" s="66"/>
      <c r="I100" s="67">
        <f>+SUM(I101:I111)</f>
        <v>56.252699999999997</v>
      </c>
      <c r="J100" s="67">
        <f t="shared" si="16"/>
        <v>112.50539999999999</v>
      </c>
      <c r="K100" s="3"/>
      <c r="M100" s="63"/>
    </row>
    <row r="101" spans="1:13" outlineLevel="1">
      <c r="A101" s="2"/>
      <c r="B101" s="53"/>
      <c r="C101" s="56"/>
      <c r="D101" s="51">
        <v>1</v>
      </c>
      <c r="E101" s="69">
        <v>1.6</v>
      </c>
      <c r="F101" s="69"/>
      <c r="G101" s="69">
        <v>2.5</v>
      </c>
      <c r="H101" s="69">
        <v>2</v>
      </c>
      <c r="I101" s="69">
        <f t="shared" ref="I101:I106" si="17">PRODUCT(E101:H101)</f>
        <v>8</v>
      </c>
      <c r="J101" s="69">
        <f t="shared" si="16"/>
        <v>8</v>
      </c>
      <c r="K101" s="2"/>
      <c r="M101" s="52"/>
    </row>
    <row r="102" spans="1:13" outlineLevel="1">
      <c r="A102" s="2"/>
      <c r="B102" s="53" t="s">
        <v>276</v>
      </c>
      <c r="C102" s="56"/>
      <c r="D102" s="51">
        <v>1</v>
      </c>
      <c r="E102" s="69">
        <v>1.4</v>
      </c>
      <c r="F102" s="69"/>
      <c r="G102" s="69">
        <v>2.5</v>
      </c>
      <c r="H102" s="69">
        <v>-1</v>
      </c>
      <c r="I102" s="69">
        <f t="shared" si="17"/>
        <v>-3.5</v>
      </c>
      <c r="J102" s="69">
        <f t="shared" si="16"/>
        <v>-3.5</v>
      </c>
      <c r="K102" s="2"/>
      <c r="M102" s="52"/>
    </row>
    <row r="103" spans="1:13" outlineLevel="1">
      <c r="A103" s="2"/>
      <c r="B103" s="53"/>
      <c r="C103" s="56"/>
      <c r="D103" s="51">
        <v>1</v>
      </c>
      <c r="E103" s="69">
        <f>16*0.3</f>
        <v>4.8</v>
      </c>
      <c r="F103" s="69"/>
      <c r="G103" s="69">
        <v>2.5</v>
      </c>
      <c r="H103" s="69">
        <v>1</v>
      </c>
      <c r="I103" s="69">
        <f t="shared" si="17"/>
        <v>12</v>
      </c>
      <c r="J103" s="69">
        <f t="shared" si="16"/>
        <v>12</v>
      </c>
      <c r="K103" s="2"/>
      <c r="M103" s="52"/>
    </row>
    <row r="104" spans="1:13" outlineLevel="1">
      <c r="A104" s="2"/>
      <c r="B104" s="53"/>
      <c r="C104" s="56"/>
      <c r="D104" s="51">
        <v>1</v>
      </c>
      <c r="E104" s="69">
        <f>(2700+5400+3200)/1000</f>
        <v>11.3</v>
      </c>
      <c r="F104" s="69"/>
      <c r="G104" s="69">
        <v>2.5</v>
      </c>
      <c r="H104" s="69">
        <v>1</v>
      </c>
      <c r="I104" s="69">
        <f t="shared" si="17"/>
        <v>28.25</v>
      </c>
      <c r="J104" s="69">
        <f t="shared" si="16"/>
        <v>28.25</v>
      </c>
      <c r="K104" s="2"/>
      <c r="M104" s="52"/>
    </row>
    <row r="105" spans="1:13" outlineLevel="1">
      <c r="A105" s="2"/>
      <c r="B105" s="53" t="s">
        <v>13</v>
      </c>
      <c r="C105" s="56"/>
      <c r="D105" s="51">
        <v>1</v>
      </c>
      <c r="E105" s="69">
        <v>1.33</v>
      </c>
      <c r="F105" s="69"/>
      <c r="G105" s="69">
        <v>2.2000000000000002</v>
      </c>
      <c r="H105" s="69">
        <v>-2</v>
      </c>
      <c r="I105" s="69">
        <f t="shared" si="17"/>
        <v>-5.8520000000000012</v>
      </c>
      <c r="J105" s="69">
        <f t="shared" si="16"/>
        <v>-5.8520000000000012</v>
      </c>
      <c r="K105" s="2"/>
      <c r="M105" s="52"/>
    </row>
    <row r="106" spans="1:13" outlineLevel="1">
      <c r="A106" s="2"/>
      <c r="B106" s="53"/>
      <c r="C106" s="56"/>
      <c r="D106" s="51">
        <v>1</v>
      </c>
      <c r="E106" s="69">
        <v>0.8</v>
      </c>
      <c r="F106" s="69"/>
      <c r="G106" s="69">
        <v>2.2000000000000002</v>
      </c>
      <c r="H106" s="69">
        <v>-2</v>
      </c>
      <c r="I106" s="69">
        <f t="shared" si="17"/>
        <v>-3.5200000000000005</v>
      </c>
      <c r="J106" s="69">
        <f t="shared" si="16"/>
        <v>-3.5200000000000005</v>
      </c>
      <c r="K106" s="2"/>
      <c r="M106" s="52"/>
    </row>
    <row r="107" spans="1:13" outlineLevel="1">
      <c r="A107" s="2"/>
      <c r="B107" s="53"/>
      <c r="C107" s="56"/>
      <c r="D107" s="51">
        <v>1</v>
      </c>
      <c r="E107" s="69">
        <f>(1035+1610+150+1800+1600+1800+150+1440)/1000</f>
        <v>9.5850000000000009</v>
      </c>
      <c r="F107" s="69"/>
      <c r="G107" s="69">
        <v>2.5</v>
      </c>
      <c r="H107" s="69">
        <v>1</v>
      </c>
      <c r="I107" s="69">
        <f t="shared" ref="I107:I110" si="18">PRODUCT(E107:H107)</f>
        <v>23.962500000000002</v>
      </c>
      <c r="J107" s="69">
        <f t="shared" ref="J107:J110" si="19">I107*D107</f>
        <v>23.962500000000002</v>
      </c>
      <c r="K107" s="2"/>
      <c r="M107" s="52"/>
    </row>
    <row r="108" spans="1:13" outlineLevel="1">
      <c r="A108" s="2"/>
      <c r="B108" s="53" t="s">
        <v>277</v>
      </c>
      <c r="C108" s="56"/>
      <c r="D108" s="51">
        <v>1</v>
      </c>
      <c r="E108" s="69">
        <v>1.07</v>
      </c>
      <c r="F108" s="69"/>
      <c r="G108" s="69">
        <v>1.77</v>
      </c>
      <c r="H108" s="69">
        <v>-2</v>
      </c>
      <c r="I108" s="69">
        <f t="shared" si="18"/>
        <v>-3.7878000000000003</v>
      </c>
      <c r="J108" s="69">
        <f t="shared" si="19"/>
        <v>-3.7878000000000003</v>
      </c>
      <c r="K108" s="2"/>
      <c r="M108" s="52"/>
    </row>
    <row r="109" spans="1:13" outlineLevel="1">
      <c r="A109" s="2"/>
      <c r="B109" s="53"/>
      <c r="C109" s="56" t="s">
        <v>274</v>
      </c>
      <c r="D109" s="51">
        <v>1</v>
      </c>
      <c r="E109" s="69">
        <v>1.6</v>
      </c>
      <c r="F109" s="69"/>
      <c r="G109" s="69">
        <v>2.5</v>
      </c>
      <c r="H109" s="69">
        <v>1</v>
      </c>
      <c r="I109" s="69">
        <f t="shared" si="18"/>
        <v>4</v>
      </c>
      <c r="J109" s="69">
        <f t="shared" si="19"/>
        <v>4</v>
      </c>
      <c r="K109" s="2"/>
      <c r="M109" s="52"/>
    </row>
    <row r="110" spans="1:13" outlineLevel="1">
      <c r="A110" s="2"/>
      <c r="B110" s="53"/>
      <c r="C110" s="56"/>
      <c r="D110" s="51">
        <v>1</v>
      </c>
      <c r="E110" s="69">
        <v>1.5</v>
      </c>
      <c r="F110" s="69"/>
      <c r="G110" s="69">
        <v>2.2000000000000002</v>
      </c>
      <c r="H110" s="69">
        <v>-1</v>
      </c>
      <c r="I110" s="69">
        <f t="shared" si="18"/>
        <v>-3.3000000000000003</v>
      </c>
      <c r="J110" s="69">
        <f t="shared" si="19"/>
        <v>-3.3000000000000003</v>
      </c>
      <c r="K110" s="2"/>
      <c r="M110" s="52"/>
    </row>
    <row r="111" spans="1:13" outlineLevel="1">
      <c r="A111" s="2"/>
      <c r="B111" s="32" t="s">
        <v>278</v>
      </c>
      <c r="C111" s="56"/>
      <c r="D111" s="51"/>
      <c r="E111" s="69"/>
      <c r="F111" s="69"/>
      <c r="G111" s="69"/>
      <c r="H111" s="69"/>
      <c r="I111" s="69"/>
      <c r="J111" s="67">
        <v>508.06549999999993</v>
      </c>
      <c r="K111" s="2"/>
      <c r="M111" s="52"/>
    </row>
    <row r="112" spans="1:13">
      <c r="A112" s="58">
        <v>2</v>
      </c>
      <c r="B112" s="59" t="s">
        <v>174</v>
      </c>
      <c r="C112" s="60"/>
      <c r="D112" s="58">
        <v>1</v>
      </c>
      <c r="E112" s="68"/>
      <c r="F112" s="68"/>
      <c r="G112" s="68"/>
      <c r="H112" s="68"/>
      <c r="I112" s="68">
        <f>+J113+J120+J125+J130+J135+J139+J145+J156</f>
        <v>1387.8710999999998</v>
      </c>
      <c r="J112" s="68">
        <f>+D112*I112</f>
        <v>1387.8710999999998</v>
      </c>
      <c r="K112" s="61"/>
      <c r="M112" s="52"/>
    </row>
    <row r="113" spans="1:14" ht="29.25" outlineLevel="1">
      <c r="A113" s="3"/>
      <c r="B113" s="32" t="s">
        <v>190</v>
      </c>
      <c r="C113" s="54"/>
      <c r="D113" s="3">
        <v>8</v>
      </c>
      <c r="E113" s="66"/>
      <c r="F113" s="66"/>
      <c r="G113" s="66"/>
      <c r="H113" s="66"/>
      <c r="I113" s="67">
        <f>+SUM(I114:I119)</f>
        <v>34.473050000000001</v>
      </c>
      <c r="J113" s="67">
        <f>+D113*I113</f>
        <v>275.78440000000001</v>
      </c>
      <c r="K113" s="2"/>
      <c r="M113" s="52"/>
      <c r="N113" s="52"/>
    </row>
    <row r="114" spans="1:14" outlineLevel="1">
      <c r="A114" s="3"/>
      <c r="B114" s="53" t="s">
        <v>177</v>
      </c>
      <c r="C114" s="56"/>
      <c r="D114" s="51">
        <v>1</v>
      </c>
      <c r="E114" s="69">
        <f>(1300+150+1850+2550+150+200)/1000</f>
        <v>6.2</v>
      </c>
      <c r="F114" s="69"/>
      <c r="G114" s="69">
        <v>2.65</v>
      </c>
      <c r="H114" s="69">
        <v>1</v>
      </c>
      <c r="I114" s="69">
        <f t="shared" ref="I114:I119" si="20">PRODUCT(E114:H114)</f>
        <v>16.43</v>
      </c>
      <c r="J114" s="69">
        <f t="shared" ref="J114:J119" si="21">I114*D114</f>
        <v>16.43</v>
      </c>
      <c r="K114" s="2" t="s">
        <v>197</v>
      </c>
      <c r="M114" s="52"/>
    </row>
    <row r="115" spans="1:14" outlineLevel="1">
      <c r="A115" s="3"/>
      <c r="B115" s="53" t="s">
        <v>261</v>
      </c>
      <c r="C115" s="56"/>
      <c r="D115" s="51">
        <v>1</v>
      </c>
      <c r="E115" s="69">
        <v>1.77</v>
      </c>
      <c r="F115" s="69"/>
      <c r="G115" s="69">
        <v>1.77</v>
      </c>
      <c r="H115" s="69">
        <v>-1</v>
      </c>
      <c r="I115" s="69">
        <f t="shared" si="20"/>
        <v>-3.1329000000000002</v>
      </c>
      <c r="J115" s="69">
        <f t="shared" si="21"/>
        <v>-3.1329000000000002</v>
      </c>
      <c r="K115" s="2"/>
      <c r="M115" s="52"/>
    </row>
    <row r="116" spans="1:14" outlineLevel="1">
      <c r="A116" s="3"/>
      <c r="B116" s="53" t="s">
        <v>179</v>
      </c>
      <c r="C116" s="56"/>
      <c r="D116" s="51">
        <v>1</v>
      </c>
      <c r="E116" s="69">
        <f>(2850+2250+100)/1000</f>
        <v>5.2</v>
      </c>
      <c r="F116" s="69"/>
      <c r="G116" s="69">
        <v>2.65</v>
      </c>
      <c r="H116" s="69">
        <v>1</v>
      </c>
      <c r="I116" s="69">
        <f t="shared" si="20"/>
        <v>13.78</v>
      </c>
      <c r="J116" s="69">
        <f t="shared" si="21"/>
        <v>13.78</v>
      </c>
      <c r="K116" s="2"/>
      <c r="M116" s="52"/>
    </row>
    <row r="117" spans="1:14" outlineLevel="1">
      <c r="A117" s="3"/>
      <c r="B117" s="53" t="s">
        <v>261</v>
      </c>
      <c r="C117" s="56"/>
      <c r="D117" s="51">
        <v>1</v>
      </c>
      <c r="E117" s="69">
        <v>1.77</v>
      </c>
      <c r="F117" s="69"/>
      <c r="G117" s="69">
        <v>1.77</v>
      </c>
      <c r="H117" s="69">
        <v>-1</v>
      </c>
      <c r="I117" s="69">
        <f t="shared" si="20"/>
        <v>-3.1329000000000002</v>
      </c>
      <c r="J117" s="69">
        <f t="shared" si="21"/>
        <v>-3.1329000000000002</v>
      </c>
      <c r="K117" s="2"/>
      <c r="M117" s="52"/>
    </row>
    <row r="118" spans="1:14" outlineLevel="1">
      <c r="A118" s="3"/>
      <c r="B118" s="53" t="s">
        <v>180</v>
      </c>
      <c r="C118" s="56"/>
      <c r="D118" s="51">
        <v>1</v>
      </c>
      <c r="E118" s="69">
        <f>(1950+330+590+1170+650+150+65+50)/1000</f>
        <v>4.9550000000000001</v>
      </c>
      <c r="F118" s="69"/>
      <c r="G118" s="69">
        <v>2.65</v>
      </c>
      <c r="H118" s="69">
        <v>1</v>
      </c>
      <c r="I118" s="69">
        <f t="shared" si="20"/>
        <v>13.130749999999999</v>
      </c>
      <c r="J118" s="69">
        <f t="shared" si="21"/>
        <v>13.130749999999999</v>
      </c>
      <c r="K118" s="2"/>
      <c r="M118" s="52"/>
    </row>
    <row r="119" spans="1:14" outlineLevel="1">
      <c r="A119" s="3"/>
      <c r="B119" s="53" t="s">
        <v>275</v>
      </c>
      <c r="C119" s="56"/>
      <c r="D119" s="51">
        <v>1</v>
      </c>
      <c r="E119" s="69">
        <v>1.47</v>
      </c>
      <c r="F119" s="69"/>
      <c r="G119" s="69">
        <v>1.77</v>
      </c>
      <c r="H119" s="69">
        <v>-1</v>
      </c>
      <c r="I119" s="69">
        <f t="shared" si="20"/>
        <v>-2.6019000000000001</v>
      </c>
      <c r="J119" s="69">
        <f t="shared" si="21"/>
        <v>-2.6019000000000001</v>
      </c>
      <c r="K119" s="2"/>
      <c r="M119" s="52"/>
    </row>
    <row r="120" spans="1:14" ht="43.5" outlineLevel="1">
      <c r="A120" s="3"/>
      <c r="B120" s="32" t="s">
        <v>192</v>
      </c>
      <c r="C120" s="54" t="s">
        <v>12</v>
      </c>
      <c r="D120" s="3">
        <v>18</v>
      </c>
      <c r="E120" s="66"/>
      <c r="F120" s="66"/>
      <c r="G120" s="66"/>
      <c r="H120" s="66"/>
      <c r="I120" s="67">
        <f>+SUM(I121:I124)</f>
        <v>16.304849999999998</v>
      </c>
      <c r="J120" s="67">
        <f>+D120*I120</f>
        <v>293.48729999999995</v>
      </c>
      <c r="K120" s="2"/>
      <c r="M120" s="52"/>
    </row>
    <row r="121" spans="1:14" outlineLevel="1">
      <c r="A121" s="3"/>
      <c r="B121" s="53" t="s">
        <v>177</v>
      </c>
      <c r="C121" s="56"/>
      <c r="D121" s="51">
        <v>1</v>
      </c>
      <c r="E121" s="69">
        <v>3</v>
      </c>
      <c r="F121" s="69"/>
      <c r="G121" s="69">
        <v>2.65</v>
      </c>
      <c r="H121" s="69">
        <v>1</v>
      </c>
      <c r="I121" s="69">
        <f t="shared" ref="I121" si="22">PRODUCT(E121:H121)</f>
        <v>7.9499999999999993</v>
      </c>
      <c r="J121" s="69">
        <f t="shared" ref="J121" si="23">I121*D121</f>
        <v>7.9499999999999993</v>
      </c>
      <c r="K121" s="2" t="s">
        <v>198</v>
      </c>
      <c r="M121" s="52"/>
    </row>
    <row r="122" spans="1:14" outlineLevel="1">
      <c r="A122" s="3"/>
      <c r="B122" s="53" t="s">
        <v>261</v>
      </c>
      <c r="C122" s="56"/>
      <c r="D122" s="51">
        <v>1</v>
      </c>
      <c r="E122" s="69">
        <v>1.77</v>
      </c>
      <c r="F122" s="69"/>
      <c r="G122" s="69">
        <v>1.77</v>
      </c>
      <c r="H122" s="69">
        <v>-1</v>
      </c>
      <c r="I122" s="69">
        <f>PRODUCT(E122:H122)</f>
        <v>-3.1329000000000002</v>
      </c>
      <c r="J122" s="69">
        <f>I122*D122</f>
        <v>-3.1329000000000002</v>
      </c>
      <c r="K122" s="2"/>
      <c r="M122" s="52"/>
    </row>
    <row r="123" spans="1:14" outlineLevel="1">
      <c r="A123" s="3"/>
      <c r="B123" s="53" t="s">
        <v>179</v>
      </c>
      <c r="C123" s="56"/>
      <c r="D123" s="51">
        <v>1</v>
      </c>
      <c r="E123" s="69">
        <f>(2717+100)/1000</f>
        <v>2.8170000000000002</v>
      </c>
      <c r="F123" s="69"/>
      <c r="G123" s="69">
        <v>2.65</v>
      </c>
      <c r="H123" s="69">
        <v>1</v>
      </c>
      <c r="I123" s="69">
        <f t="shared" ref="I123:I124" si="24">PRODUCT(E123:H123)</f>
        <v>7.4650500000000006</v>
      </c>
      <c r="J123" s="69">
        <f t="shared" ref="J123:J124" si="25">I123*D123</f>
        <v>7.4650500000000006</v>
      </c>
      <c r="K123" s="2"/>
      <c r="M123" s="52"/>
    </row>
    <row r="124" spans="1:14" outlineLevel="1">
      <c r="A124" s="3"/>
      <c r="B124" s="53" t="s">
        <v>180</v>
      </c>
      <c r="C124" s="56"/>
      <c r="D124" s="51">
        <v>1</v>
      </c>
      <c r="E124" s="69">
        <f>(65+100+100+1253)/1000</f>
        <v>1.518</v>
      </c>
      <c r="F124" s="69"/>
      <c r="G124" s="69">
        <v>2.65</v>
      </c>
      <c r="H124" s="69">
        <v>1</v>
      </c>
      <c r="I124" s="69">
        <f t="shared" si="24"/>
        <v>4.0226999999999995</v>
      </c>
      <c r="J124" s="69">
        <f t="shared" si="25"/>
        <v>4.0226999999999995</v>
      </c>
      <c r="K124" s="2"/>
      <c r="M124" s="52"/>
    </row>
    <row r="125" spans="1:14" outlineLevel="1">
      <c r="A125" s="3"/>
      <c r="B125" s="32" t="s">
        <v>191</v>
      </c>
      <c r="C125" s="54" t="s">
        <v>12</v>
      </c>
      <c r="D125" s="3">
        <v>2</v>
      </c>
      <c r="E125" s="66"/>
      <c r="F125" s="66"/>
      <c r="G125" s="66"/>
      <c r="H125" s="66"/>
      <c r="I125" s="67">
        <f>+SUM(I126:I129)</f>
        <v>16.940850000000001</v>
      </c>
      <c r="J125" s="67">
        <f>I125*D125</f>
        <v>33.881700000000002</v>
      </c>
      <c r="K125" s="2" t="s">
        <v>200</v>
      </c>
      <c r="M125" s="52"/>
    </row>
    <row r="126" spans="1:14" outlineLevel="1">
      <c r="A126" s="2"/>
      <c r="B126" s="62" t="s">
        <v>177</v>
      </c>
      <c r="C126" s="55"/>
      <c r="D126" s="2">
        <v>1</v>
      </c>
      <c r="E126" s="70">
        <f>(100+1050+2960)/1000</f>
        <v>4.1100000000000003</v>
      </c>
      <c r="F126" s="70"/>
      <c r="G126" s="70">
        <v>2.65</v>
      </c>
      <c r="H126" s="70">
        <v>1</v>
      </c>
      <c r="I126" s="69">
        <f>PRODUCT(E126:H126)</f>
        <v>10.891500000000001</v>
      </c>
      <c r="J126" s="69">
        <f>I126*D126</f>
        <v>10.891500000000001</v>
      </c>
      <c r="K126" s="2"/>
      <c r="M126" s="52"/>
    </row>
    <row r="127" spans="1:14" outlineLevel="1">
      <c r="A127" s="3"/>
      <c r="B127" s="53" t="s">
        <v>261</v>
      </c>
      <c r="C127" s="56"/>
      <c r="D127" s="51">
        <v>1</v>
      </c>
      <c r="E127" s="69">
        <v>1.77</v>
      </c>
      <c r="F127" s="69"/>
      <c r="G127" s="69">
        <v>1.77</v>
      </c>
      <c r="H127" s="69">
        <v>-1</v>
      </c>
      <c r="I127" s="69">
        <f>PRODUCT(E127:H127)</f>
        <v>-3.1329000000000002</v>
      </c>
      <c r="J127" s="69">
        <f>I127*D127</f>
        <v>-3.1329000000000002</v>
      </c>
      <c r="K127" s="2"/>
      <c r="M127" s="52"/>
    </row>
    <row r="128" spans="1:14" outlineLevel="1">
      <c r="A128" s="3"/>
      <c r="B128" s="53" t="s">
        <v>179</v>
      </c>
      <c r="C128" s="56"/>
      <c r="D128" s="51">
        <v>1</v>
      </c>
      <c r="E128" s="69">
        <f>(50+100+100+365)/1000</f>
        <v>0.61499999999999999</v>
      </c>
      <c r="F128" s="69"/>
      <c r="G128" s="69">
        <v>2.65</v>
      </c>
      <c r="H128" s="69">
        <v>1</v>
      </c>
      <c r="I128" s="69">
        <f>PRODUCT(E128:H128)</f>
        <v>1.62975</v>
      </c>
      <c r="J128" s="69">
        <f>I128*D128</f>
        <v>1.62975</v>
      </c>
      <c r="K128" s="2"/>
      <c r="M128" s="52"/>
    </row>
    <row r="129" spans="1:13" outlineLevel="1">
      <c r="A129" s="2"/>
      <c r="B129" s="62" t="s">
        <v>180</v>
      </c>
      <c r="C129" s="55"/>
      <c r="D129" s="2">
        <v>1</v>
      </c>
      <c r="E129" s="70">
        <f>(330+1920+600)/1000</f>
        <v>2.85</v>
      </c>
      <c r="F129" s="70"/>
      <c r="G129" s="70">
        <v>2.65</v>
      </c>
      <c r="H129" s="70">
        <v>1</v>
      </c>
      <c r="I129" s="69">
        <f>PRODUCT(E129:H129)</f>
        <v>7.5525000000000002</v>
      </c>
      <c r="J129" s="69">
        <f>I129*D129</f>
        <v>7.5525000000000002</v>
      </c>
      <c r="K129" s="2"/>
      <c r="M129" s="52"/>
    </row>
    <row r="130" spans="1:13" outlineLevel="1">
      <c r="A130" s="3"/>
      <c r="B130" s="32" t="s">
        <v>194</v>
      </c>
      <c r="C130" s="54"/>
      <c r="D130" s="3">
        <v>2</v>
      </c>
      <c r="E130" s="66"/>
      <c r="F130" s="66"/>
      <c r="G130" s="66"/>
      <c r="H130" s="66"/>
      <c r="I130" s="67">
        <f>+SUM(I131:I134)</f>
        <v>33.331099999999999</v>
      </c>
      <c r="J130" s="67">
        <f>+D130*I130</f>
        <v>66.662199999999999</v>
      </c>
      <c r="K130" s="2"/>
      <c r="M130" s="52"/>
    </row>
    <row r="131" spans="1:13" outlineLevel="1">
      <c r="A131" s="3"/>
      <c r="B131" s="53" t="s">
        <v>177</v>
      </c>
      <c r="C131" s="56"/>
      <c r="D131" s="51">
        <v>1</v>
      </c>
      <c r="E131" s="69">
        <f>(3000+1850+1700+150)/1000</f>
        <v>6.7</v>
      </c>
      <c r="F131" s="69"/>
      <c r="G131" s="69">
        <v>2.65</v>
      </c>
      <c r="H131" s="69">
        <v>1</v>
      </c>
      <c r="I131" s="69">
        <f>PRODUCT(E131:H131)</f>
        <v>17.754999999999999</v>
      </c>
      <c r="J131" s="69">
        <f t="shared" ref="J131:J155" si="26">I131*D131</f>
        <v>17.754999999999999</v>
      </c>
      <c r="K131" s="2" t="s">
        <v>199</v>
      </c>
      <c r="M131" s="52"/>
    </row>
    <row r="132" spans="1:13" outlineLevel="1">
      <c r="A132" s="3"/>
      <c r="B132" s="53" t="s">
        <v>261</v>
      </c>
      <c r="C132" s="56"/>
      <c r="D132" s="51">
        <v>1</v>
      </c>
      <c r="E132" s="69">
        <v>1.77</v>
      </c>
      <c r="F132" s="69"/>
      <c r="G132" s="69">
        <v>1.77</v>
      </c>
      <c r="H132" s="69">
        <v>-1</v>
      </c>
      <c r="I132" s="69">
        <f>PRODUCT(E132:H132)</f>
        <v>-3.1329000000000002</v>
      </c>
      <c r="J132" s="69">
        <f t="shared" si="26"/>
        <v>-3.1329000000000002</v>
      </c>
      <c r="K132" s="2"/>
      <c r="M132" s="52"/>
    </row>
    <row r="133" spans="1:13" outlineLevel="1">
      <c r="A133" s="3"/>
      <c r="B133" s="53" t="s">
        <v>179</v>
      </c>
      <c r="C133" s="56"/>
      <c r="D133" s="51">
        <v>1</v>
      </c>
      <c r="E133" s="69">
        <f>(1915+690+150)/1000</f>
        <v>2.7549999999999999</v>
      </c>
      <c r="F133" s="69"/>
      <c r="G133" s="69">
        <v>2.65</v>
      </c>
      <c r="H133" s="69">
        <v>1</v>
      </c>
      <c r="I133" s="69">
        <f>PRODUCT(E133:H133)</f>
        <v>7.3007499999999999</v>
      </c>
      <c r="J133" s="69">
        <f t="shared" si="26"/>
        <v>7.3007499999999999</v>
      </c>
      <c r="K133" s="2"/>
      <c r="M133" s="52"/>
    </row>
    <row r="134" spans="1:13" outlineLevel="1">
      <c r="A134" s="3"/>
      <c r="B134" s="53" t="s">
        <v>180</v>
      </c>
      <c r="C134" s="56"/>
      <c r="D134" s="51">
        <v>1</v>
      </c>
      <c r="E134" s="69">
        <f>(485+445+2225+100+100+950)/1000</f>
        <v>4.3049999999999997</v>
      </c>
      <c r="F134" s="69"/>
      <c r="G134" s="69">
        <v>2.65</v>
      </c>
      <c r="H134" s="69">
        <v>1</v>
      </c>
      <c r="I134" s="69">
        <f>PRODUCT(E134:H134)</f>
        <v>11.408249999999999</v>
      </c>
      <c r="J134" s="69">
        <f t="shared" si="26"/>
        <v>11.408249999999999</v>
      </c>
      <c r="K134" s="2"/>
      <c r="M134" s="52"/>
    </row>
    <row r="135" spans="1:13" outlineLevel="1">
      <c r="A135" s="3"/>
      <c r="B135" s="32" t="s">
        <v>195</v>
      </c>
      <c r="C135" s="54"/>
      <c r="D135" s="3">
        <v>2</v>
      </c>
      <c r="E135" s="66"/>
      <c r="F135" s="66"/>
      <c r="G135" s="66"/>
      <c r="H135" s="66"/>
      <c r="I135" s="67">
        <f>+SUM(I136:I138)</f>
        <v>33.052849999999999</v>
      </c>
      <c r="J135" s="67">
        <f t="shared" si="26"/>
        <v>66.105699999999999</v>
      </c>
      <c r="K135" s="2" t="s">
        <v>203</v>
      </c>
      <c r="M135" s="52"/>
    </row>
    <row r="136" spans="1:13" outlineLevel="1">
      <c r="A136" s="2"/>
      <c r="B136" s="62" t="s">
        <v>177</v>
      </c>
      <c r="C136" s="55"/>
      <c r="D136" s="2">
        <v>1</v>
      </c>
      <c r="E136" s="70">
        <f>(3000+1850+150+2400)/1000</f>
        <v>7.4</v>
      </c>
      <c r="F136" s="70"/>
      <c r="G136" s="70">
        <v>2.65</v>
      </c>
      <c r="H136" s="70">
        <v>1</v>
      </c>
      <c r="I136" s="69">
        <f>PRODUCT(E136:H136)</f>
        <v>19.61</v>
      </c>
      <c r="J136" s="69">
        <f t="shared" si="26"/>
        <v>19.61</v>
      </c>
      <c r="K136" s="2"/>
      <c r="M136" s="52"/>
    </row>
    <row r="137" spans="1:13" outlineLevel="1">
      <c r="A137" s="3"/>
      <c r="B137" s="53" t="s">
        <v>261</v>
      </c>
      <c r="C137" s="56"/>
      <c r="D137" s="51">
        <v>1</v>
      </c>
      <c r="E137" s="69">
        <v>1.77</v>
      </c>
      <c r="F137" s="69"/>
      <c r="G137" s="69">
        <v>1.77</v>
      </c>
      <c r="H137" s="69">
        <v>-1</v>
      </c>
      <c r="I137" s="69">
        <f>PRODUCT(E137:H137)</f>
        <v>-3.1329000000000002</v>
      </c>
      <c r="J137" s="69">
        <f t="shared" si="26"/>
        <v>-3.1329000000000002</v>
      </c>
      <c r="K137" s="2"/>
      <c r="M137" s="52"/>
    </row>
    <row r="138" spans="1:13" outlineLevel="1">
      <c r="A138" s="2"/>
      <c r="B138" s="62" t="s">
        <v>180</v>
      </c>
      <c r="C138" s="55"/>
      <c r="D138" s="2">
        <v>1</v>
      </c>
      <c r="E138" s="70">
        <f>(2290+2715+100+100+1050)/1000</f>
        <v>6.2549999999999999</v>
      </c>
      <c r="F138" s="70"/>
      <c r="G138" s="70">
        <v>2.65</v>
      </c>
      <c r="H138" s="70">
        <v>1</v>
      </c>
      <c r="I138" s="69">
        <f>PRODUCT(E138:H138)</f>
        <v>16.575749999999999</v>
      </c>
      <c r="J138" s="69">
        <f t="shared" si="26"/>
        <v>16.575749999999999</v>
      </c>
      <c r="K138" s="2"/>
      <c r="M138" s="52"/>
    </row>
    <row r="139" spans="1:13" outlineLevel="1">
      <c r="A139" s="3"/>
      <c r="B139" s="32" t="s">
        <v>196</v>
      </c>
      <c r="C139" s="54"/>
      <c r="D139" s="3">
        <v>2</v>
      </c>
      <c r="E139" s="66"/>
      <c r="F139" s="66"/>
      <c r="G139" s="66"/>
      <c r="H139" s="66"/>
      <c r="I139" s="67">
        <f>+SUM(I140:I144)</f>
        <v>15.689449999999997</v>
      </c>
      <c r="J139" s="67">
        <f t="shared" si="26"/>
        <v>31.378899999999994</v>
      </c>
      <c r="K139" s="2" t="s">
        <v>204</v>
      </c>
      <c r="M139" s="52"/>
    </row>
    <row r="140" spans="1:13" outlineLevel="1">
      <c r="A140" s="2"/>
      <c r="B140" s="62" t="s">
        <v>177</v>
      </c>
      <c r="C140" s="55"/>
      <c r="D140" s="2">
        <v>1</v>
      </c>
      <c r="E140" s="70">
        <f>(100+450+2700)/1000</f>
        <v>3.25</v>
      </c>
      <c r="F140" s="70"/>
      <c r="G140" s="70">
        <v>2.65</v>
      </c>
      <c r="H140" s="70">
        <v>1</v>
      </c>
      <c r="I140" s="69">
        <f>PRODUCT(E140:H140)</f>
        <v>8.6124999999999989</v>
      </c>
      <c r="J140" s="69">
        <f t="shared" si="26"/>
        <v>8.6124999999999989</v>
      </c>
      <c r="K140" s="2"/>
      <c r="M140" s="52"/>
    </row>
    <row r="141" spans="1:13" outlineLevel="1">
      <c r="A141" s="3"/>
      <c r="B141" s="53" t="s">
        <v>261</v>
      </c>
      <c r="C141" s="56"/>
      <c r="D141" s="51">
        <v>1</v>
      </c>
      <c r="E141" s="69">
        <v>1.77</v>
      </c>
      <c r="F141" s="69"/>
      <c r="G141" s="69">
        <v>1.77</v>
      </c>
      <c r="H141" s="69">
        <v>-1</v>
      </c>
      <c r="I141" s="69">
        <f>PRODUCT(E141:H141)</f>
        <v>-3.1329000000000002</v>
      </c>
      <c r="J141" s="69">
        <f t="shared" si="26"/>
        <v>-3.1329000000000002</v>
      </c>
      <c r="K141" s="2"/>
      <c r="M141" s="52"/>
    </row>
    <row r="142" spans="1:13" outlineLevel="1">
      <c r="A142" s="2"/>
      <c r="B142" s="53" t="s">
        <v>179</v>
      </c>
      <c r="C142" s="56"/>
      <c r="D142" s="51">
        <v>1</v>
      </c>
      <c r="E142" s="69">
        <v>3.05</v>
      </c>
      <c r="F142" s="69"/>
      <c r="G142" s="69">
        <v>2.65</v>
      </c>
      <c r="H142" s="69">
        <v>1</v>
      </c>
      <c r="I142" s="69">
        <f>PRODUCT(E142:H142)</f>
        <v>8.0824999999999996</v>
      </c>
      <c r="J142" s="69">
        <f t="shared" si="26"/>
        <v>8.0824999999999996</v>
      </c>
      <c r="K142" s="2"/>
      <c r="M142" s="52"/>
    </row>
    <row r="143" spans="1:13" outlineLevel="1">
      <c r="A143" s="3"/>
      <c r="B143" s="53" t="s">
        <v>261</v>
      </c>
      <c r="C143" s="56"/>
      <c r="D143" s="51">
        <v>1</v>
      </c>
      <c r="E143" s="69">
        <v>1.77</v>
      </c>
      <c r="F143" s="69"/>
      <c r="G143" s="69">
        <v>1.77</v>
      </c>
      <c r="H143" s="69">
        <v>-1</v>
      </c>
      <c r="I143" s="69">
        <f>PRODUCT(E143:H143)</f>
        <v>-3.1329000000000002</v>
      </c>
      <c r="J143" s="69">
        <f t="shared" si="26"/>
        <v>-3.1329000000000002</v>
      </c>
      <c r="K143" s="2"/>
      <c r="M143" s="52"/>
    </row>
    <row r="144" spans="1:13" outlineLevel="1">
      <c r="A144" s="2"/>
      <c r="B144" s="53" t="s">
        <v>180</v>
      </c>
      <c r="C144" s="56"/>
      <c r="D144" s="51">
        <v>1</v>
      </c>
      <c r="E144" s="69">
        <f>(600+330+1055)/1000</f>
        <v>1.9850000000000001</v>
      </c>
      <c r="F144" s="69"/>
      <c r="G144" s="69">
        <v>2.65</v>
      </c>
      <c r="H144" s="69">
        <v>1</v>
      </c>
      <c r="I144" s="69">
        <f>PRODUCT(E144:H144)</f>
        <v>5.2602500000000001</v>
      </c>
      <c r="J144" s="69">
        <f t="shared" si="26"/>
        <v>5.2602500000000001</v>
      </c>
      <c r="K144" s="2"/>
      <c r="M144" s="52"/>
    </row>
    <row r="145" spans="1:14" s="4" customFormat="1" ht="14.25" outlineLevel="1">
      <c r="A145" s="3"/>
      <c r="B145" s="32" t="s">
        <v>101</v>
      </c>
      <c r="C145" s="54"/>
      <c r="D145" s="3">
        <v>2</v>
      </c>
      <c r="E145" s="66"/>
      <c r="F145" s="66"/>
      <c r="G145" s="66"/>
      <c r="H145" s="66"/>
      <c r="I145" s="67">
        <f>+SUM(I146:I156)</f>
        <v>56.252699999999997</v>
      </c>
      <c r="J145" s="67">
        <f t="shared" si="26"/>
        <v>112.50539999999999</v>
      </c>
      <c r="K145" s="3"/>
      <c r="M145" s="63"/>
    </row>
    <row r="146" spans="1:14" outlineLevel="1">
      <c r="A146" s="2"/>
      <c r="B146" s="53"/>
      <c r="C146" s="56"/>
      <c r="D146" s="51">
        <v>1</v>
      </c>
      <c r="E146" s="69">
        <v>1.6</v>
      </c>
      <c r="F146" s="69"/>
      <c r="G146" s="69">
        <v>2.5</v>
      </c>
      <c r="H146" s="69">
        <v>2</v>
      </c>
      <c r="I146" s="69">
        <f t="shared" ref="I146:I155" si="27">PRODUCT(E146:H146)</f>
        <v>8</v>
      </c>
      <c r="J146" s="69">
        <f t="shared" si="26"/>
        <v>8</v>
      </c>
      <c r="K146" s="2"/>
      <c r="M146" s="52"/>
    </row>
    <row r="147" spans="1:14" outlineLevel="1">
      <c r="A147" s="2"/>
      <c r="B147" s="53" t="s">
        <v>276</v>
      </c>
      <c r="C147" s="56"/>
      <c r="D147" s="51">
        <v>1</v>
      </c>
      <c r="E147" s="69">
        <v>1.4</v>
      </c>
      <c r="F147" s="69"/>
      <c r="G147" s="69">
        <v>2.5</v>
      </c>
      <c r="H147" s="69">
        <v>-1</v>
      </c>
      <c r="I147" s="69">
        <f t="shared" si="27"/>
        <v>-3.5</v>
      </c>
      <c r="J147" s="69">
        <f t="shared" si="26"/>
        <v>-3.5</v>
      </c>
      <c r="K147" s="2"/>
      <c r="M147" s="52"/>
    </row>
    <row r="148" spans="1:14" outlineLevel="1">
      <c r="A148" s="2"/>
      <c r="B148" s="53"/>
      <c r="C148" s="56"/>
      <c r="D148" s="51">
        <v>1</v>
      </c>
      <c r="E148" s="69">
        <f>16*0.3</f>
        <v>4.8</v>
      </c>
      <c r="F148" s="69"/>
      <c r="G148" s="69">
        <v>2.5</v>
      </c>
      <c r="H148" s="69">
        <v>1</v>
      </c>
      <c r="I148" s="69">
        <f t="shared" si="27"/>
        <v>12</v>
      </c>
      <c r="J148" s="69">
        <f t="shared" si="26"/>
        <v>12</v>
      </c>
      <c r="K148" s="2"/>
      <c r="M148" s="52"/>
    </row>
    <row r="149" spans="1:14" outlineLevel="1">
      <c r="A149" s="2"/>
      <c r="B149" s="53"/>
      <c r="C149" s="56"/>
      <c r="D149" s="51">
        <v>1</v>
      </c>
      <c r="E149" s="69">
        <f>(2700+5400+3200)/1000</f>
        <v>11.3</v>
      </c>
      <c r="F149" s="69"/>
      <c r="G149" s="69">
        <v>2.5</v>
      </c>
      <c r="H149" s="69">
        <v>1</v>
      </c>
      <c r="I149" s="69">
        <f t="shared" si="27"/>
        <v>28.25</v>
      </c>
      <c r="J149" s="69">
        <f t="shared" si="26"/>
        <v>28.25</v>
      </c>
      <c r="K149" s="2"/>
      <c r="M149" s="52"/>
    </row>
    <row r="150" spans="1:14" outlineLevel="1">
      <c r="A150" s="2"/>
      <c r="B150" s="53" t="s">
        <v>13</v>
      </c>
      <c r="C150" s="56"/>
      <c r="D150" s="51">
        <v>1</v>
      </c>
      <c r="E150" s="69">
        <v>1.33</v>
      </c>
      <c r="F150" s="69"/>
      <c r="G150" s="69">
        <v>2.2000000000000002</v>
      </c>
      <c r="H150" s="69">
        <v>-2</v>
      </c>
      <c r="I150" s="69">
        <f t="shared" si="27"/>
        <v>-5.8520000000000012</v>
      </c>
      <c r="J150" s="69">
        <f t="shared" si="26"/>
        <v>-5.8520000000000012</v>
      </c>
      <c r="K150" s="2"/>
      <c r="M150" s="52"/>
    </row>
    <row r="151" spans="1:14" outlineLevel="1">
      <c r="A151" s="2"/>
      <c r="B151" s="53"/>
      <c r="C151" s="56"/>
      <c r="D151" s="51">
        <v>1</v>
      </c>
      <c r="E151" s="69">
        <v>0.8</v>
      </c>
      <c r="F151" s="69"/>
      <c r="G151" s="69">
        <v>2.2000000000000002</v>
      </c>
      <c r="H151" s="69">
        <v>-2</v>
      </c>
      <c r="I151" s="69">
        <f t="shared" si="27"/>
        <v>-3.5200000000000005</v>
      </c>
      <c r="J151" s="69">
        <f t="shared" si="26"/>
        <v>-3.5200000000000005</v>
      </c>
      <c r="K151" s="2"/>
      <c r="M151" s="52"/>
    </row>
    <row r="152" spans="1:14" outlineLevel="1">
      <c r="A152" s="2"/>
      <c r="B152" s="53"/>
      <c r="C152" s="56"/>
      <c r="D152" s="51">
        <v>1</v>
      </c>
      <c r="E152" s="69">
        <f>(1035+1610+150+1800+1600+1800+150+1440)/1000</f>
        <v>9.5850000000000009</v>
      </c>
      <c r="F152" s="69"/>
      <c r="G152" s="69">
        <v>2.5</v>
      </c>
      <c r="H152" s="69">
        <v>1</v>
      </c>
      <c r="I152" s="69">
        <f t="shared" si="27"/>
        <v>23.962500000000002</v>
      </c>
      <c r="J152" s="69">
        <f t="shared" si="26"/>
        <v>23.962500000000002</v>
      </c>
      <c r="K152" s="2"/>
      <c r="M152" s="52"/>
    </row>
    <row r="153" spans="1:14" outlineLevel="1">
      <c r="A153" s="2"/>
      <c r="B153" s="53" t="s">
        <v>277</v>
      </c>
      <c r="C153" s="56"/>
      <c r="D153" s="51">
        <v>1</v>
      </c>
      <c r="E153" s="69">
        <v>1.07</v>
      </c>
      <c r="F153" s="69"/>
      <c r="G153" s="69">
        <v>1.77</v>
      </c>
      <c r="H153" s="69">
        <v>-2</v>
      </c>
      <c r="I153" s="69">
        <f t="shared" si="27"/>
        <v>-3.7878000000000003</v>
      </c>
      <c r="J153" s="69">
        <f t="shared" si="26"/>
        <v>-3.7878000000000003</v>
      </c>
      <c r="K153" s="2"/>
      <c r="M153" s="52"/>
    </row>
    <row r="154" spans="1:14" outlineLevel="1">
      <c r="A154" s="2"/>
      <c r="B154" s="53"/>
      <c r="C154" s="56" t="s">
        <v>274</v>
      </c>
      <c r="D154" s="51">
        <v>1</v>
      </c>
      <c r="E154" s="69">
        <v>1.6</v>
      </c>
      <c r="F154" s="69"/>
      <c r="G154" s="69">
        <v>2.5</v>
      </c>
      <c r="H154" s="69">
        <v>1</v>
      </c>
      <c r="I154" s="69">
        <f t="shared" si="27"/>
        <v>4</v>
      </c>
      <c r="J154" s="69">
        <f t="shared" si="26"/>
        <v>4</v>
      </c>
      <c r="K154" s="2"/>
      <c r="M154" s="52"/>
    </row>
    <row r="155" spans="1:14" outlineLevel="1">
      <c r="A155" s="2"/>
      <c r="B155" s="53"/>
      <c r="C155" s="56"/>
      <c r="D155" s="51">
        <v>1</v>
      </c>
      <c r="E155" s="69">
        <v>1.5</v>
      </c>
      <c r="F155" s="69"/>
      <c r="G155" s="69">
        <v>2.2000000000000002</v>
      </c>
      <c r="H155" s="69">
        <v>-1</v>
      </c>
      <c r="I155" s="69">
        <f t="shared" si="27"/>
        <v>-3.3000000000000003</v>
      </c>
      <c r="J155" s="69">
        <f t="shared" si="26"/>
        <v>-3.3000000000000003</v>
      </c>
      <c r="K155" s="2"/>
      <c r="M155" s="52"/>
    </row>
    <row r="156" spans="1:14" outlineLevel="1">
      <c r="A156" s="2"/>
      <c r="B156" s="32" t="s">
        <v>278</v>
      </c>
      <c r="C156" s="56"/>
      <c r="D156" s="51"/>
      <c r="E156" s="69"/>
      <c r="F156" s="69"/>
      <c r="G156" s="69"/>
      <c r="H156" s="69"/>
      <c r="I156" s="69"/>
      <c r="J156" s="67">
        <v>508.06549999999993</v>
      </c>
      <c r="K156" s="2"/>
      <c r="M156" s="52"/>
    </row>
    <row r="157" spans="1:14">
      <c r="A157" s="58">
        <v>2</v>
      </c>
      <c r="B157" s="59" t="s">
        <v>175</v>
      </c>
      <c r="C157" s="60"/>
      <c r="D157" s="58">
        <v>3</v>
      </c>
      <c r="E157" s="68"/>
      <c r="F157" s="68"/>
      <c r="G157" s="68"/>
      <c r="H157" s="68"/>
      <c r="I157" s="68">
        <f>+J158+J165+J170+J175+J180+J184+J190+J201</f>
        <v>1387.8710999999998</v>
      </c>
      <c r="J157" s="68">
        <f>+D157*I157</f>
        <v>4163.6132999999991</v>
      </c>
      <c r="K157" s="61"/>
      <c r="M157" s="52"/>
    </row>
    <row r="158" spans="1:14" ht="29.25" outlineLevel="1">
      <c r="A158" s="3"/>
      <c r="B158" s="32" t="s">
        <v>190</v>
      </c>
      <c r="C158" s="54"/>
      <c r="D158" s="3">
        <v>8</v>
      </c>
      <c r="E158" s="66"/>
      <c r="F158" s="66"/>
      <c r="G158" s="66"/>
      <c r="H158" s="66"/>
      <c r="I158" s="67">
        <f>+SUM(I159:I164)</f>
        <v>34.473050000000001</v>
      </c>
      <c r="J158" s="67">
        <f>+D158*I158</f>
        <v>275.78440000000001</v>
      </c>
      <c r="K158" s="2"/>
      <c r="M158" s="52"/>
      <c r="N158" s="52"/>
    </row>
    <row r="159" spans="1:14" outlineLevel="1">
      <c r="A159" s="3"/>
      <c r="B159" s="53" t="s">
        <v>177</v>
      </c>
      <c r="C159" s="56"/>
      <c r="D159" s="51">
        <v>1</v>
      </c>
      <c r="E159" s="69">
        <f>(1300+150+1850+2550+150+200)/1000</f>
        <v>6.2</v>
      </c>
      <c r="F159" s="69"/>
      <c r="G159" s="69">
        <v>2.65</v>
      </c>
      <c r="H159" s="69">
        <v>1</v>
      </c>
      <c r="I159" s="69">
        <f t="shared" ref="I159:I164" si="28">PRODUCT(E159:H159)</f>
        <v>16.43</v>
      </c>
      <c r="J159" s="69">
        <f t="shared" ref="J159:J164" si="29">I159*D159</f>
        <v>16.43</v>
      </c>
      <c r="K159" s="2" t="s">
        <v>197</v>
      </c>
      <c r="M159" s="52"/>
    </row>
    <row r="160" spans="1:14" outlineLevel="1">
      <c r="A160" s="3"/>
      <c r="B160" s="53" t="s">
        <v>261</v>
      </c>
      <c r="C160" s="56"/>
      <c r="D160" s="51">
        <v>1</v>
      </c>
      <c r="E160" s="69">
        <v>1.77</v>
      </c>
      <c r="F160" s="69"/>
      <c r="G160" s="69">
        <v>1.77</v>
      </c>
      <c r="H160" s="69">
        <v>-1</v>
      </c>
      <c r="I160" s="69">
        <f t="shared" si="28"/>
        <v>-3.1329000000000002</v>
      </c>
      <c r="J160" s="69">
        <f t="shared" si="29"/>
        <v>-3.1329000000000002</v>
      </c>
      <c r="K160" s="2"/>
      <c r="M160" s="52"/>
    </row>
    <row r="161" spans="1:13" outlineLevel="1">
      <c r="A161" s="3"/>
      <c r="B161" s="53" t="s">
        <v>179</v>
      </c>
      <c r="C161" s="56"/>
      <c r="D161" s="51">
        <v>1</v>
      </c>
      <c r="E161" s="69">
        <f>(2850+2250+100)/1000</f>
        <v>5.2</v>
      </c>
      <c r="F161" s="69"/>
      <c r="G161" s="69">
        <v>2.65</v>
      </c>
      <c r="H161" s="69">
        <v>1</v>
      </c>
      <c r="I161" s="69">
        <f t="shared" si="28"/>
        <v>13.78</v>
      </c>
      <c r="J161" s="69">
        <f t="shared" si="29"/>
        <v>13.78</v>
      </c>
      <c r="K161" s="2"/>
      <c r="M161" s="52"/>
    </row>
    <row r="162" spans="1:13" outlineLevel="1">
      <c r="A162" s="3"/>
      <c r="B162" s="53" t="s">
        <v>261</v>
      </c>
      <c r="C162" s="56"/>
      <c r="D162" s="51">
        <v>1</v>
      </c>
      <c r="E162" s="69">
        <v>1.77</v>
      </c>
      <c r="F162" s="69"/>
      <c r="G162" s="69">
        <v>1.77</v>
      </c>
      <c r="H162" s="69">
        <v>-1</v>
      </c>
      <c r="I162" s="69">
        <f t="shared" si="28"/>
        <v>-3.1329000000000002</v>
      </c>
      <c r="J162" s="69">
        <f t="shared" si="29"/>
        <v>-3.1329000000000002</v>
      </c>
      <c r="K162" s="2"/>
      <c r="M162" s="52"/>
    </row>
    <row r="163" spans="1:13" outlineLevel="1">
      <c r="A163" s="3"/>
      <c r="B163" s="53" t="s">
        <v>180</v>
      </c>
      <c r="C163" s="56"/>
      <c r="D163" s="51">
        <v>1</v>
      </c>
      <c r="E163" s="69">
        <f>(1950+330+590+1170+650+150+65+50)/1000</f>
        <v>4.9550000000000001</v>
      </c>
      <c r="F163" s="69"/>
      <c r="G163" s="69">
        <v>2.65</v>
      </c>
      <c r="H163" s="69">
        <v>1</v>
      </c>
      <c r="I163" s="69">
        <f t="shared" si="28"/>
        <v>13.130749999999999</v>
      </c>
      <c r="J163" s="69">
        <f t="shared" si="29"/>
        <v>13.130749999999999</v>
      </c>
      <c r="K163" s="2"/>
      <c r="M163" s="52"/>
    </row>
    <row r="164" spans="1:13" outlineLevel="1">
      <c r="A164" s="3"/>
      <c r="B164" s="53" t="s">
        <v>275</v>
      </c>
      <c r="C164" s="56"/>
      <c r="D164" s="51">
        <v>1</v>
      </c>
      <c r="E164" s="69">
        <v>1.47</v>
      </c>
      <c r="F164" s="69"/>
      <c r="G164" s="69">
        <v>1.77</v>
      </c>
      <c r="H164" s="69">
        <v>-1</v>
      </c>
      <c r="I164" s="69">
        <f t="shared" si="28"/>
        <v>-2.6019000000000001</v>
      </c>
      <c r="J164" s="69">
        <f t="shared" si="29"/>
        <v>-2.6019000000000001</v>
      </c>
      <c r="K164" s="2"/>
      <c r="M164" s="52"/>
    </row>
    <row r="165" spans="1:13" ht="43.5" outlineLevel="1">
      <c r="A165" s="3"/>
      <c r="B165" s="32" t="s">
        <v>192</v>
      </c>
      <c r="C165" s="54" t="s">
        <v>12</v>
      </c>
      <c r="D165" s="3">
        <v>18</v>
      </c>
      <c r="E165" s="66"/>
      <c r="F165" s="66"/>
      <c r="G165" s="66"/>
      <c r="H165" s="66"/>
      <c r="I165" s="67">
        <f>+SUM(I166:I169)</f>
        <v>16.304849999999998</v>
      </c>
      <c r="J165" s="67">
        <f>+D165*I165</f>
        <v>293.48729999999995</v>
      </c>
      <c r="K165" s="2"/>
      <c r="M165" s="52"/>
    </row>
    <row r="166" spans="1:13" outlineLevel="1">
      <c r="A166" s="3"/>
      <c r="B166" s="53" t="s">
        <v>177</v>
      </c>
      <c r="C166" s="56"/>
      <c r="D166" s="51">
        <v>1</v>
      </c>
      <c r="E166" s="69">
        <v>3</v>
      </c>
      <c r="F166" s="69"/>
      <c r="G166" s="69">
        <v>2.65</v>
      </c>
      <c r="H166" s="69">
        <v>1</v>
      </c>
      <c r="I166" s="69">
        <f t="shared" ref="I166" si="30">PRODUCT(E166:H166)</f>
        <v>7.9499999999999993</v>
      </c>
      <c r="J166" s="69">
        <f t="shared" ref="J166" si="31">I166*D166</f>
        <v>7.9499999999999993</v>
      </c>
      <c r="K166" s="2" t="s">
        <v>198</v>
      </c>
      <c r="M166" s="52"/>
    </row>
    <row r="167" spans="1:13" outlineLevel="1">
      <c r="A167" s="3"/>
      <c r="B167" s="53" t="s">
        <v>261</v>
      </c>
      <c r="C167" s="56"/>
      <c r="D167" s="51">
        <v>1</v>
      </c>
      <c r="E167" s="69">
        <v>1.77</v>
      </c>
      <c r="F167" s="69"/>
      <c r="G167" s="69">
        <v>1.77</v>
      </c>
      <c r="H167" s="69">
        <v>-1</v>
      </c>
      <c r="I167" s="69">
        <f>PRODUCT(E167:H167)</f>
        <v>-3.1329000000000002</v>
      </c>
      <c r="J167" s="69">
        <f>I167*D167</f>
        <v>-3.1329000000000002</v>
      </c>
      <c r="K167" s="2"/>
      <c r="M167" s="52"/>
    </row>
    <row r="168" spans="1:13" outlineLevel="1">
      <c r="A168" s="3"/>
      <c r="B168" s="53" t="s">
        <v>179</v>
      </c>
      <c r="C168" s="56"/>
      <c r="D168" s="51">
        <v>1</v>
      </c>
      <c r="E168" s="69">
        <f>(2717+100)/1000</f>
        <v>2.8170000000000002</v>
      </c>
      <c r="F168" s="69"/>
      <c r="G168" s="69">
        <v>2.65</v>
      </c>
      <c r="H168" s="69">
        <v>1</v>
      </c>
      <c r="I168" s="69">
        <f t="shared" ref="I168:I169" si="32">PRODUCT(E168:H168)</f>
        <v>7.4650500000000006</v>
      </c>
      <c r="J168" s="69">
        <f t="shared" ref="J168:J169" si="33">I168*D168</f>
        <v>7.4650500000000006</v>
      </c>
      <c r="K168" s="2"/>
      <c r="M168" s="52"/>
    </row>
    <row r="169" spans="1:13" outlineLevel="1">
      <c r="A169" s="3"/>
      <c r="B169" s="53" t="s">
        <v>180</v>
      </c>
      <c r="C169" s="56"/>
      <c r="D169" s="51">
        <v>1</v>
      </c>
      <c r="E169" s="69">
        <f>(65+100+100+1253)/1000</f>
        <v>1.518</v>
      </c>
      <c r="F169" s="69"/>
      <c r="G169" s="69">
        <v>2.65</v>
      </c>
      <c r="H169" s="69">
        <v>1</v>
      </c>
      <c r="I169" s="69">
        <f t="shared" si="32"/>
        <v>4.0226999999999995</v>
      </c>
      <c r="J169" s="69">
        <f t="shared" si="33"/>
        <v>4.0226999999999995</v>
      </c>
      <c r="K169" s="2"/>
      <c r="M169" s="52"/>
    </row>
    <row r="170" spans="1:13" outlineLevel="1">
      <c r="A170" s="3"/>
      <c r="B170" s="32" t="s">
        <v>191</v>
      </c>
      <c r="C170" s="54" t="s">
        <v>12</v>
      </c>
      <c r="D170" s="3">
        <v>2</v>
      </c>
      <c r="E170" s="66"/>
      <c r="F170" s="66"/>
      <c r="G170" s="66"/>
      <c r="H170" s="66"/>
      <c r="I170" s="67">
        <f>+SUM(I171:I174)</f>
        <v>16.940850000000001</v>
      </c>
      <c r="J170" s="67">
        <f>I170*D170</f>
        <v>33.881700000000002</v>
      </c>
      <c r="K170" s="2" t="s">
        <v>200</v>
      </c>
      <c r="M170" s="52"/>
    </row>
    <row r="171" spans="1:13" outlineLevel="1">
      <c r="A171" s="2"/>
      <c r="B171" s="62" t="s">
        <v>177</v>
      </c>
      <c r="C171" s="55"/>
      <c r="D171" s="2">
        <v>1</v>
      </c>
      <c r="E171" s="70">
        <f>(100+1050+2960)/1000</f>
        <v>4.1100000000000003</v>
      </c>
      <c r="F171" s="70"/>
      <c r="G171" s="70">
        <v>2.65</v>
      </c>
      <c r="H171" s="70">
        <v>1</v>
      </c>
      <c r="I171" s="69">
        <f>PRODUCT(E171:H171)</f>
        <v>10.891500000000001</v>
      </c>
      <c r="J171" s="69">
        <f>I171*D171</f>
        <v>10.891500000000001</v>
      </c>
      <c r="K171" s="2"/>
      <c r="M171" s="52"/>
    </row>
    <row r="172" spans="1:13" outlineLevel="1">
      <c r="A172" s="3"/>
      <c r="B172" s="53" t="s">
        <v>261</v>
      </c>
      <c r="C172" s="56"/>
      <c r="D172" s="51">
        <v>1</v>
      </c>
      <c r="E172" s="69">
        <v>1.77</v>
      </c>
      <c r="F172" s="69"/>
      <c r="G172" s="69">
        <v>1.77</v>
      </c>
      <c r="H172" s="69">
        <v>-1</v>
      </c>
      <c r="I172" s="69">
        <f>PRODUCT(E172:H172)</f>
        <v>-3.1329000000000002</v>
      </c>
      <c r="J172" s="69">
        <f>I172*D172</f>
        <v>-3.1329000000000002</v>
      </c>
      <c r="K172" s="2"/>
      <c r="M172" s="52"/>
    </row>
    <row r="173" spans="1:13" outlineLevel="1">
      <c r="A173" s="3"/>
      <c r="B173" s="53" t="s">
        <v>179</v>
      </c>
      <c r="C173" s="56"/>
      <c r="D173" s="51">
        <v>1</v>
      </c>
      <c r="E173" s="69">
        <f>(50+100+100+365)/1000</f>
        <v>0.61499999999999999</v>
      </c>
      <c r="F173" s="69"/>
      <c r="G173" s="69">
        <v>2.65</v>
      </c>
      <c r="H173" s="69">
        <v>1</v>
      </c>
      <c r="I173" s="69">
        <f>PRODUCT(E173:H173)</f>
        <v>1.62975</v>
      </c>
      <c r="J173" s="69">
        <f>I173*D173</f>
        <v>1.62975</v>
      </c>
      <c r="K173" s="2"/>
      <c r="M173" s="52"/>
    </row>
    <row r="174" spans="1:13" outlineLevel="1">
      <c r="A174" s="2"/>
      <c r="B174" s="62" t="s">
        <v>180</v>
      </c>
      <c r="C174" s="55"/>
      <c r="D174" s="2">
        <v>1</v>
      </c>
      <c r="E174" s="70">
        <f>(330+1920+600)/1000</f>
        <v>2.85</v>
      </c>
      <c r="F174" s="70"/>
      <c r="G174" s="70">
        <v>2.65</v>
      </c>
      <c r="H174" s="70">
        <v>1</v>
      </c>
      <c r="I174" s="69">
        <f>PRODUCT(E174:H174)</f>
        <v>7.5525000000000002</v>
      </c>
      <c r="J174" s="69">
        <f>I174*D174</f>
        <v>7.5525000000000002</v>
      </c>
      <c r="K174" s="2"/>
      <c r="M174" s="52"/>
    </row>
    <row r="175" spans="1:13" outlineLevel="1">
      <c r="A175" s="3"/>
      <c r="B175" s="32" t="s">
        <v>194</v>
      </c>
      <c r="C175" s="54"/>
      <c r="D175" s="3">
        <v>2</v>
      </c>
      <c r="E175" s="66"/>
      <c r="F175" s="66"/>
      <c r="G175" s="66"/>
      <c r="H175" s="66"/>
      <c r="I175" s="67">
        <f>+SUM(I176:I179)</f>
        <v>33.331099999999999</v>
      </c>
      <c r="J175" s="67">
        <f>+D175*I175</f>
        <v>66.662199999999999</v>
      </c>
      <c r="K175" s="2"/>
      <c r="M175" s="52"/>
    </row>
    <row r="176" spans="1:13" outlineLevel="1">
      <c r="A176" s="3"/>
      <c r="B176" s="53" t="s">
        <v>177</v>
      </c>
      <c r="C176" s="56"/>
      <c r="D176" s="51">
        <v>1</v>
      </c>
      <c r="E176" s="69">
        <f>(3000+1850+1700+150)/1000</f>
        <v>6.7</v>
      </c>
      <c r="F176" s="69"/>
      <c r="G176" s="69">
        <v>2.65</v>
      </c>
      <c r="H176" s="69">
        <v>1</v>
      </c>
      <c r="I176" s="69">
        <f>PRODUCT(E176:H176)</f>
        <v>17.754999999999999</v>
      </c>
      <c r="J176" s="69">
        <f t="shared" ref="J176:J196" si="34">I176*D176</f>
        <v>17.754999999999999</v>
      </c>
      <c r="K176" s="2" t="s">
        <v>199</v>
      </c>
      <c r="M176" s="52"/>
    </row>
    <row r="177" spans="1:13" outlineLevel="1">
      <c r="A177" s="3"/>
      <c r="B177" s="53" t="s">
        <v>261</v>
      </c>
      <c r="C177" s="56"/>
      <c r="D177" s="51">
        <v>1</v>
      </c>
      <c r="E177" s="69">
        <v>1.77</v>
      </c>
      <c r="F177" s="69"/>
      <c r="G177" s="69">
        <v>1.77</v>
      </c>
      <c r="H177" s="69">
        <v>-1</v>
      </c>
      <c r="I177" s="69">
        <f>PRODUCT(E177:H177)</f>
        <v>-3.1329000000000002</v>
      </c>
      <c r="J177" s="69">
        <f t="shared" si="34"/>
        <v>-3.1329000000000002</v>
      </c>
      <c r="K177" s="2"/>
      <c r="M177" s="52"/>
    </row>
    <row r="178" spans="1:13" outlineLevel="1">
      <c r="A178" s="3"/>
      <c r="B178" s="53" t="s">
        <v>179</v>
      </c>
      <c r="C178" s="56"/>
      <c r="D178" s="51">
        <v>1</v>
      </c>
      <c r="E178" s="69">
        <f>(1915+690+150)/1000</f>
        <v>2.7549999999999999</v>
      </c>
      <c r="F178" s="69"/>
      <c r="G178" s="69">
        <v>2.65</v>
      </c>
      <c r="H178" s="69">
        <v>1</v>
      </c>
      <c r="I178" s="69">
        <f>PRODUCT(E178:H178)</f>
        <v>7.3007499999999999</v>
      </c>
      <c r="J178" s="69">
        <f t="shared" si="34"/>
        <v>7.3007499999999999</v>
      </c>
      <c r="K178" s="2"/>
      <c r="M178" s="52"/>
    </row>
    <row r="179" spans="1:13" outlineLevel="1">
      <c r="A179" s="3"/>
      <c r="B179" s="53" t="s">
        <v>180</v>
      </c>
      <c r="C179" s="56"/>
      <c r="D179" s="51">
        <v>1</v>
      </c>
      <c r="E179" s="69">
        <f>(485+445+2225+100+100+950)/1000</f>
        <v>4.3049999999999997</v>
      </c>
      <c r="F179" s="69"/>
      <c r="G179" s="69">
        <v>2.65</v>
      </c>
      <c r="H179" s="69">
        <v>1</v>
      </c>
      <c r="I179" s="69">
        <f>PRODUCT(E179:H179)</f>
        <v>11.408249999999999</v>
      </c>
      <c r="J179" s="69">
        <f t="shared" si="34"/>
        <v>11.408249999999999</v>
      </c>
      <c r="K179" s="2"/>
      <c r="M179" s="52"/>
    </row>
    <row r="180" spans="1:13" outlineLevel="1">
      <c r="A180" s="3"/>
      <c r="B180" s="32" t="s">
        <v>195</v>
      </c>
      <c r="C180" s="54"/>
      <c r="D180" s="3">
        <v>2</v>
      </c>
      <c r="E180" s="66"/>
      <c r="F180" s="66"/>
      <c r="G180" s="66"/>
      <c r="H180" s="66"/>
      <c r="I180" s="67">
        <f>+SUM(I181:I183)</f>
        <v>33.052849999999999</v>
      </c>
      <c r="J180" s="67">
        <f t="shared" si="34"/>
        <v>66.105699999999999</v>
      </c>
      <c r="K180" s="2" t="s">
        <v>203</v>
      </c>
      <c r="M180" s="52"/>
    </row>
    <row r="181" spans="1:13" outlineLevel="1">
      <c r="A181" s="2"/>
      <c r="B181" s="62" t="s">
        <v>177</v>
      </c>
      <c r="C181" s="55"/>
      <c r="D181" s="2">
        <v>1</v>
      </c>
      <c r="E181" s="70">
        <f>(3000+1850+150+2400)/1000</f>
        <v>7.4</v>
      </c>
      <c r="F181" s="70"/>
      <c r="G181" s="70">
        <v>2.65</v>
      </c>
      <c r="H181" s="70">
        <v>1</v>
      </c>
      <c r="I181" s="69">
        <f>PRODUCT(E181:H181)</f>
        <v>19.61</v>
      </c>
      <c r="J181" s="69">
        <f t="shared" si="34"/>
        <v>19.61</v>
      </c>
      <c r="K181" s="2"/>
      <c r="M181" s="52"/>
    </row>
    <row r="182" spans="1:13" outlineLevel="1">
      <c r="A182" s="3"/>
      <c r="B182" s="53" t="s">
        <v>261</v>
      </c>
      <c r="C182" s="56"/>
      <c r="D182" s="51">
        <v>1</v>
      </c>
      <c r="E182" s="69">
        <v>1.77</v>
      </c>
      <c r="F182" s="69"/>
      <c r="G182" s="69">
        <v>1.77</v>
      </c>
      <c r="H182" s="69">
        <v>-1</v>
      </c>
      <c r="I182" s="69">
        <f>PRODUCT(E182:H182)</f>
        <v>-3.1329000000000002</v>
      </c>
      <c r="J182" s="69">
        <f t="shared" si="34"/>
        <v>-3.1329000000000002</v>
      </c>
      <c r="K182" s="2"/>
      <c r="M182" s="52"/>
    </row>
    <row r="183" spans="1:13" outlineLevel="1">
      <c r="A183" s="2"/>
      <c r="B183" s="62" t="s">
        <v>180</v>
      </c>
      <c r="C183" s="55"/>
      <c r="D183" s="2">
        <v>1</v>
      </c>
      <c r="E183" s="70">
        <f>(2290+2715+100+100+1050)/1000</f>
        <v>6.2549999999999999</v>
      </c>
      <c r="F183" s="70"/>
      <c r="G183" s="70">
        <v>2.65</v>
      </c>
      <c r="H183" s="70">
        <v>1</v>
      </c>
      <c r="I183" s="69">
        <f>PRODUCT(E183:H183)</f>
        <v>16.575749999999999</v>
      </c>
      <c r="J183" s="69">
        <f t="shared" si="34"/>
        <v>16.575749999999999</v>
      </c>
      <c r="K183" s="2"/>
      <c r="M183" s="52"/>
    </row>
    <row r="184" spans="1:13" outlineLevel="1">
      <c r="A184" s="3"/>
      <c r="B184" s="32" t="s">
        <v>196</v>
      </c>
      <c r="C184" s="54"/>
      <c r="D184" s="3">
        <v>2</v>
      </c>
      <c r="E184" s="66"/>
      <c r="F184" s="66"/>
      <c r="G184" s="66"/>
      <c r="H184" s="66"/>
      <c r="I184" s="67">
        <f>+SUM(I185:I189)</f>
        <v>15.689449999999997</v>
      </c>
      <c r="J184" s="67">
        <f t="shared" si="34"/>
        <v>31.378899999999994</v>
      </c>
      <c r="K184" s="2" t="s">
        <v>204</v>
      </c>
      <c r="M184" s="52"/>
    </row>
    <row r="185" spans="1:13" outlineLevel="1">
      <c r="A185" s="2"/>
      <c r="B185" s="62" t="s">
        <v>177</v>
      </c>
      <c r="C185" s="55"/>
      <c r="D185" s="2">
        <v>1</v>
      </c>
      <c r="E185" s="70">
        <f>(100+450+2700)/1000</f>
        <v>3.25</v>
      </c>
      <c r="F185" s="70"/>
      <c r="G185" s="70">
        <v>2.65</v>
      </c>
      <c r="H185" s="70">
        <v>1</v>
      </c>
      <c r="I185" s="69">
        <f>PRODUCT(E185:H185)</f>
        <v>8.6124999999999989</v>
      </c>
      <c r="J185" s="69">
        <f t="shared" si="34"/>
        <v>8.6124999999999989</v>
      </c>
      <c r="K185" s="2"/>
      <c r="M185" s="52"/>
    </row>
    <row r="186" spans="1:13" outlineLevel="1">
      <c r="A186" s="3"/>
      <c r="B186" s="53" t="s">
        <v>261</v>
      </c>
      <c r="C186" s="56"/>
      <c r="D186" s="51">
        <v>1</v>
      </c>
      <c r="E186" s="69">
        <v>1.77</v>
      </c>
      <c r="F186" s="69"/>
      <c r="G186" s="69">
        <v>1.77</v>
      </c>
      <c r="H186" s="69">
        <v>-1</v>
      </c>
      <c r="I186" s="69">
        <f>PRODUCT(E186:H186)</f>
        <v>-3.1329000000000002</v>
      </c>
      <c r="J186" s="69">
        <f t="shared" si="34"/>
        <v>-3.1329000000000002</v>
      </c>
      <c r="K186" s="2"/>
      <c r="M186" s="52"/>
    </row>
    <row r="187" spans="1:13" outlineLevel="1">
      <c r="A187" s="2"/>
      <c r="B187" s="53" t="s">
        <v>179</v>
      </c>
      <c r="C187" s="56"/>
      <c r="D187" s="51">
        <v>1</v>
      </c>
      <c r="E187" s="69">
        <v>3.05</v>
      </c>
      <c r="F187" s="69"/>
      <c r="G187" s="69">
        <v>2.65</v>
      </c>
      <c r="H187" s="69">
        <v>1</v>
      </c>
      <c r="I187" s="69">
        <f>PRODUCT(E187:H187)</f>
        <v>8.0824999999999996</v>
      </c>
      <c r="J187" s="69">
        <f t="shared" si="34"/>
        <v>8.0824999999999996</v>
      </c>
      <c r="K187" s="2"/>
      <c r="M187" s="52"/>
    </row>
    <row r="188" spans="1:13" outlineLevel="1">
      <c r="A188" s="3"/>
      <c r="B188" s="53" t="s">
        <v>261</v>
      </c>
      <c r="C188" s="56"/>
      <c r="D188" s="51">
        <v>1</v>
      </c>
      <c r="E188" s="69">
        <v>1.77</v>
      </c>
      <c r="F188" s="69"/>
      <c r="G188" s="69">
        <v>1.77</v>
      </c>
      <c r="H188" s="69">
        <v>-1</v>
      </c>
      <c r="I188" s="69">
        <f>PRODUCT(E188:H188)</f>
        <v>-3.1329000000000002</v>
      </c>
      <c r="J188" s="69">
        <f t="shared" si="34"/>
        <v>-3.1329000000000002</v>
      </c>
      <c r="K188" s="2"/>
      <c r="M188" s="52"/>
    </row>
    <row r="189" spans="1:13" outlineLevel="1">
      <c r="A189" s="2"/>
      <c r="B189" s="53" t="s">
        <v>180</v>
      </c>
      <c r="C189" s="56"/>
      <c r="D189" s="51">
        <v>1</v>
      </c>
      <c r="E189" s="69">
        <f>(600+330+1055)/1000</f>
        <v>1.9850000000000001</v>
      </c>
      <c r="F189" s="69"/>
      <c r="G189" s="69">
        <v>2.65</v>
      </c>
      <c r="H189" s="69">
        <v>1</v>
      </c>
      <c r="I189" s="69">
        <f>PRODUCT(E189:H189)</f>
        <v>5.2602500000000001</v>
      </c>
      <c r="J189" s="69">
        <f t="shared" si="34"/>
        <v>5.2602500000000001</v>
      </c>
      <c r="K189" s="2"/>
      <c r="M189" s="52"/>
    </row>
    <row r="190" spans="1:13" s="4" customFormat="1" ht="14.25" outlineLevel="1">
      <c r="A190" s="3"/>
      <c r="B190" s="32" t="s">
        <v>101</v>
      </c>
      <c r="C190" s="54"/>
      <c r="D190" s="3">
        <v>2</v>
      </c>
      <c r="E190" s="66"/>
      <c r="F190" s="66"/>
      <c r="G190" s="66"/>
      <c r="H190" s="66"/>
      <c r="I190" s="67">
        <f>+SUM(I191:I201)</f>
        <v>56.252699999999997</v>
      </c>
      <c r="J190" s="67">
        <f t="shared" si="34"/>
        <v>112.50539999999999</v>
      </c>
      <c r="K190" s="3"/>
      <c r="M190" s="63"/>
    </row>
    <row r="191" spans="1:13" outlineLevel="1">
      <c r="A191" s="2"/>
      <c r="B191" s="53"/>
      <c r="C191" s="56"/>
      <c r="D191" s="51">
        <v>1</v>
      </c>
      <c r="E191" s="69">
        <v>1.6</v>
      </c>
      <c r="F191" s="69"/>
      <c r="G191" s="69">
        <v>2.5</v>
      </c>
      <c r="H191" s="69">
        <v>2</v>
      </c>
      <c r="I191" s="69">
        <f t="shared" ref="I191:I196" si="35">PRODUCT(E191:H191)</f>
        <v>8</v>
      </c>
      <c r="J191" s="69">
        <f t="shared" si="34"/>
        <v>8</v>
      </c>
      <c r="K191" s="2"/>
      <c r="M191" s="52"/>
    </row>
    <row r="192" spans="1:13" outlineLevel="1">
      <c r="A192" s="2"/>
      <c r="B192" s="53" t="s">
        <v>276</v>
      </c>
      <c r="C192" s="56"/>
      <c r="D192" s="51">
        <v>1</v>
      </c>
      <c r="E192" s="69">
        <v>1.4</v>
      </c>
      <c r="F192" s="69"/>
      <c r="G192" s="69">
        <v>2.5</v>
      </c>
      <c r="H192" s="69">
        <v>-1</v>
      </c>
      <c r="I192" s="69">
        <f t="shared" si="35"/>
        <v>-3.5</v>
      </c>
      <c r="J192" s="69">
        <f t="shared" si="34"/>
        <v>-3.5</v>
      </c>
      <c r="K192" s="2"/>
      <c r="M192" s="52"/>
    </row>
    <row r="193" spans="1:14" outlineLevel="1">
      <c r="A193" s="2"/>
      <c r="B193" s="53"/>
      <c r="C193" s="56"/>
      <c r="D193" s="51">
        <v>1</v>
      </c>
      <c r="E193" s="69">
        <f>16*0.3</f>
        <v>4.8</v>
      </c>
      <c r="F193" s="69"/>
      <c r="G193" s="69">
        <v>2.5</v>
      </c>
      <c r="H193" s="69">
        <v>1</v>
      </c>
      <c r="I193" s="69">
        <f t="shared" si="35"/>
        <v>12</v>
      </c>
      <c r="J193" s="69">
        <f t="shared" si="34"/>
        <v>12</v>
      </c>
      <c r="K193" s="2"/>
      <c r="M193" s="52"/>
    </row>
    <row r="194" spans="1:14" outlineLevel="1">
      <c r="A194" s="2"/>
      <c r="B194" s="53"/>
      <c r="C194" s="56"/>
      <c r="D194" s="51">
        <v>1</v>
      </c>
      <c r="E194" s="69">
        <f>(2700+5400+3200)/1000</f>
        <v>11.3</v>
      </c>
      <c r="F194" s="69"/>
      <c r="G194" s="69">
        <v>2.5</v>
      </c>
      <c r="H194" s="69">
        <v>1</v>
      </c>
      <c r="I194" s="69">
        <f t="shared" si="35"/>
        <v>28.25</v>
      </c>
      <c r="J194" s="69">
        <f t="shared" si="34"/>
        <v>28.25</v>
      </c>
      <c r="K194" s="2"/>
      <c r="M194" s="52"/>
    </row>
    <row r="195" spans="1:14" outlineLevel="1">
      <c r="A195" s="2"/>
      <c r="B195" s="53" t="s">
        <v>13</v>
      </c>
      <c r="C195" s="56"/>
      <c r="D195" s="51">
        <v>1</v>
      </c>
      <c r="E195" s="69">
        <v>1.33</v>
      </c>
      <c r="F195" s="69"/>
      <c r="G195" s="69">
        <v>2.2000000000000002</v>
      </c>
      <c r="H195" s="69">
        <v>-2</v>
      </c>
      <c r="I195" s="69">
        <f t="shared" si="35"/>
        <v>-5.8520000000000012</v>
      </c>
      <c r="J195" s="69">
        <f t="shared" si="34"/>
        <v>-5.8520000000000012</v>
      </c>
      <c r="K195" s="2"/>
      <c r="M195" s="52"/>
    </row>
    <row r="196" spans="1:14" outlineLevel="1">
      <c r="A196" s="2"/>
      <c r="B196" s="53"/>
      <c r="C196" s="56"/>
      <c r="D196" s="51">
        <v>1</v>
      </c>
      <c r="E196" s="69">
        <v>0.8</v>
      </c>
      <c r="F196" s="69"/>
      <c r="G196" s="69">
        <v>2.2000000000000002</v>
      </c>
      <c r="H196" s="69">
        <v>-2</v>
      </c>
      <c r="I196" s="69">
        <f t="shared" si="35"/>
        <v>-3.5200000000000005</v>
      </c>
      <c r="J196" s="69">
        <f t="shared" si="34"/>
        <v>-3.5200000000000005</v>
      </c>
      <c r="K196" s="2"/>
      <c r="M196" s="52"/>
    </row>
    <row r="197" spans="1:14" outlineLevel="1">
      <c r="A197" s="2"/>
      <c r="B197" s="53"/>
      <c r="C197" s="56"/>
      <c r="D197" s="51">
        <v>1</v>
      </c>
      <c r="E197" s="69">
        <f>(1035+1610+150+1800+1600+1800+150+1440)/1000</f>
        <v>9.5850000000000009</v>
      </c>
      <c r="F197" s="69"/>
      <c r="G197" s="69">
        <v>2.5</v>
      </c>
      <c r="H197" s="69">
        <v>1</v>
      </c>
      <c r="I197" s="69">
        <f t="shared" ref="I197:I200" si="36">PRODUCT(E197:H197)</f>
        <v>23.962500000000002</v>
      </c>
      <c r="J197" s="69">
        <f t="shared" ref="J197:J200" si="37">I197*D197</f>
        <v>23.962500000000002</v>
      </c>
      <c r="K197" s="2"/>
      <c r="M197" s="52"/>
    </row>
    <row r="198" spans="1:14" outlineLevel="1">
      <c r="A198" s="2"/>
      <c r="B198" s="53" t="s">
        <v>277</v>
      </c>
      <c r="C198" s="56"/>
      <c r="D198" s="51">
        <v>1</v>
      </c>
      <c r="E198" s="69">
        <v>1.07</v>
      </c>
      <c r="F198" s="69"/>
      <c r="G198" s="69">
        <v>1.77</v>
      </c>
      <c r="H198" s="69">
        <v>-2</v>
      </c>
      <c r="I198" s="69">
        <f t="shared" si="36"/>
        <v>-3.7878000000000003</v>
      </c>
      <c r="J198" s="69">
        <f t="shared" si="37"/>
        <v>-3.7878000000000003</v>
      </c>
      <c r="K198" s="2"/>
      <c r="M198" s="52"/>
    </row>
    <row r="199" spans="1:14" outlineLevel="1">
      <c r="A199" s="2"/>
      <c r="B199" s="53"/>
      <c r="C199" s="56" t="s">
        <v>274</v>
      </c>
      <c r="D199" s="51">
        <v>1</v>
      </c>
      <c r="E199" s="69">
        <v>1.6</v>
      </c>
      <c r="F199" s="69"/>
      <c r="G199" s="69">
        <v>2.5</v>
      </c>
      <c r="H199" s="69">
        <v>1</v>
      </c>
      <c r="I199" s="69">
        <f t="shared" si="36"/>
        <v>4</v>
      </c>
      <c r="J199" s="69">
        <f t="shared" si="37"/>
        <v>4</v>
      </c>
      <c r="K199" s="2"/>
      <c r="M199" s="52"/>
    </row>
    <row r="200" spans="1:14" outlineLevel="1">
      <c r="A200" s="2"/>
      <c r="B200" s="53"/>
      <c r="C200" s="56"/>
      <c r="D200" s="51">
        <v>1</v>
      </c>
      <c r="E200" s="69">
        <v>1.5</v>
      </c>
      <c r="F200" s="69"/>
      <c r="G200" s="69">
        <v>2.2000000000000002</v>
      </c>
      <c r="H200" s="69">
        <v>-1</v>
      </c>
      <c r="I200" s="69">
        <f t="shared" si="36"/>
        <v>-3.3000000000000003</v>
      </c>
      <c r="J200" s="69">
        <f t="shared" si="37"/>
        <v>-3.3000000000000003</v>
      </c>
      <c r="K200" s="2"/>
      <c r="M200" s="52"/>
    </row>
    <row r="201" spans="1:14" outlineLevel="1">
      <c r="A201" s="2"/>
      <c r="B201" s="32" t="s">
        <v>278</v>
      </c>
      <c r="C201" s="56"/>
      <c r="D201" s="51"/>
      <c r="E201" s="69"/>
      <c r="F201" s="69"/>
      <c r="G201" s="69"/>
      <c r="H201" s="69"/>
      <c r="I201" s="69"/>
      <c r="J201" s="67">
        <v>508.06549999999993</v>
      </c>
      <c r="K201" s="2"/>
      <c r="M201" s="52"/>
    </row>
    <row r="202" spans="1:14">
      <c r="A202" s="58">
        <v>2</v>
      </c>
      <c r="B202" s="59" t="s">
        <v>176</v>
      </c>
      <c r="C202" s="60"/>
      <c r="D202" s="58">
        <v>1</v>
      </c>
      <c r="E202" s="68"/>
      <c r="F202" s="68"/>
      <c r="G202" s="68"/>
      <c r="H202" s="68"/>
      <c r="I202" s="68">
        <f>+J203+J210+J215+J220+J225+J229+J235+J246</f>
        <v>1387.8710999999998</v>
      </c>
      <c r="J202" s="68">
        <f>+D202*I202</f>
        <v>1387.8710999999998</v>
      </c>
      <c r="K202" s="61"/>
      <c r="M202" s="52"/>
    </row>
    <row r="203" spans="1:14" ht="29.25" outlineLevel="1">
      <c r="A203" s="3"/>
      <c r="B203" s="32" t="s">
        <v>190</v>
      </c>
      <c r="C203" s="54"/>
      <c r="D203" s="3">
        <v>8</v>
      </c>
      <c r="E203" s="66"/>
      <c r="F203" s="66"/>
      <c r="G203" s="66"/>
      <c r="H203" s="66"/>
      <c r="I203" s="67">
        <f>+SUM(I204:I209)</f>
        <v>34.473050000000001</v>
      </c>
      <c r="J203" s="67">
        <f>+D203*I203</f>
        <v>275.78440000000001</v>
      </c>
      <c r="K203" s="2"/>
      <c r="M203" s="52"/>
      <c r="N203" s="52"/>
    </row>
    <row r="204" spans="1:14" outlineLevel="1">
      <c r="A204" s="3"/>
      <c r="B204" s="53" t="s">
        <v>177</v>
      </c>
      <c r="C204" s="56"/>
      <c r="D204" s="51">
        <v>1</v>
      </c>
      <c r="E204" s="69">
        <f>(1300+150+1850+2550+150+200)/1000</f>
        <v>6.2</v>
      </c>
      <c r="F204" s="69"/>
      <c r="G204" s="69">
        <v>2.65</v>
      </c>
      <c r="H204" s="69">
        <v>1</v>
      </c>
      <c r="I204" s="69">
        <f t="shared" ref="I204:I209" si="38">PRODUCT(E204:H204)</f>
        <v>16.43</v>
      </c>
      <c r="J204" s="69">
        <f t="shared" ref="J204:J209" si="39">I204*D204</f>
        <v>16.43</v>
      </c>
      <c r="K204" s="2" t="s">
        <v>197</v>
      </c>
      <c r="M204" s="52"/>
    </row>
    <row r="205" spans="1:14" outlineLevel="1">
      <c r="A205" s="3"/>
      <c r="B205" s="53" t="s">
        <v>261</v>
      </c>
      <c r="C205" s="56"/>
      <c r="D205" s="51">
        <v>1</v>
      </c>
      <c r="E205" s="69">
        <v>1.77</v>
      </c>
      <c r="F205" s="69"/>
      <c r="G205" s="69">
        <v>1.77</v>
      </c>
      <c r="H205" s="69">
        <v>-1</v>
      </c>
      <c r="I205" s="69">
        <f t="shared" si="38"/>
        <v>-3.1329000000000002</v>
      </c>
      <c r="J205" s="69">
        <f t="shared" si="39"/>
        <v>-3.1329000000000002</v>
      </c>
      <c r="K205" s="2"/>
      <c r="M205" s="52"/>
    </row>
    <row r="206" spans="1:14" outlineLevel="1">
      <c r="A206" s="3"/>
      <c r="B206" s="53" t="s">
        <v>179</v>
      </c>
      <c r="C206" s="56"/>
      <c r="D206" s="51">
        <v>1</v>
      </c>
      <c r="E206" s="69">
        <f>(2850+2250+100)/1000</f>
        <v>5.2</v>
      </c>
      <c r="F206" s="69"/>
      <c r="G206" s="69">
        <v>2.65</v>
      </c>
      <c r="H206" s="69">
        <v>1</v>
      </c>
      <c r="I206" s="69">
        <f t="shared" si="38"/>
        <v>13.78</v>
      </c>
      <c r="J206" s="69">
        <f t="shared" si="39"/>
        <v>13.78</v>
      </c>
      <c r="K206" s="2"/>
      <c r="M206" s="52"/>
    </row>
    <row r="207" spans="1:14" outlineLevel="1">
      <c r="A207" s="3"/>
      <c r="B207" s="53" t="s">
        <v>261</v>
      </c>
      <c r="C207" s="56"/>
      <c r="D207" s="51">
        <v>1</v>
      </c>
      <c r="E207" s="69">
        <v>1.77</v>
      </c>
      <c r="F207" s="69"/>
      <c r="G207" s="69">
        <v>1.77</v>
      </c>
      <c r="H207" s="69">
        <v>-1</v>
      </c>
      <c r="I207" s="69">
        <f t="shared" si="38"/>
        <v>-3.1329000000000002</v>
      </c>
      <c r="J207" s="69">
        <f t="shared" si="39"/>
        <v>-3.1329000000000002</v>
      </c>
      <c r="K207" s="2"/>
      <c r="M207" s="52"/>
    </row>
    <row r="208" spans="1:14" outlineLevel="1">
      <c r="A208" s="3"/>
      <c r="B208" s="53" t="s">
        <v>180</v>
      </c>
      <c r="C208" s="56"/>
      <c r="D208" s="51">
        <v>1</v>
      </c>
      <c r="E208" s="69">
        <f>(1950+330+590+1170+650+150+65+50)/1000</f>
        <v>4.9550000000000001</v>
      </c>
      <c r="F208" s="69"/>
      <c r="G208" s="69">
        <v>2.65</v>
      </c>
      <c r="H208" s="69">
        <v>1</v>
      </c>
      <c r="I208" s="69">
        <f t="shared" si="38"/>
        <v>13.130749999999999</v>
      </c>
      <c r="J208" s="69">
        <f t="shared" si="39"/>
        <v>13.130749999999999</v>
      </c>
      <c r="K208" s="2"/>
      <c r="M208" s="52"/>
    </row>
    <row r="209" spans="1:13" outlineLevel="1">
      <c r="A209" s="3"/>
      <c r="B209" s="53" t="s">
        <v>275</v>
      </c>
      <c r="C209" s="56"/>
      <c r="D209" s="51">
        <v>1</v>
      </c>
      <c r="E209" s="69">
        <v>1.47</v>
      </c>
      <c r="F209" s="69"/>
      <c r="G209" s="69">
        <v>1.77</v>
      </c>
      <c r="H209" s="69">
        <v>-1</v>
      </c>
      <c r="I209" s="69">
        <f t="shared" si="38"/>
        <v>-2.6019000000000001</v>
      </c>
      <c r="J209" s="69">
        <f t="shared" si="39"/>
        <v>-2.6019000000000001</v>
      </c>
      <c r="K209" s="2"/>
      <c r="M209" s="52"/>
    </row>
    <row r="210" spans="1:13" ht="43.5" outlineLevel="1">
      <c r="A210" s="3"/>
      <c r="B210" s="32" t="s">
        <v>192</v>
      </c>
      <c r="C210" s="54" t="s">
        <v>12</v>
      </c>
      <c r="D210" s="3">
        <v>18</v>
      </c>
      <c r="E210" s="66"/>
      <c r="F210" s="66"/>
      <c r="G210" s="66"/>
      <c r="H210" s="66"/>
      <c r="I210" s="67">
        <f>+SUM(I211:I214)</f>
        <v>16.304849999999998</v>
      </c>
      <c r="J210" s="67">
        <f>+D210*I210</f>
        <v>293.48729999999995</v>
      </c>
      <c r="K210" s="2"/>
      <c r="M210" s="52"/>
    </row>
    <row r="211" spans="1:13" outlineLevel="1">
      <c r="A211" s="3"/>
      <c r="B211" s="53" t="s">
        <v>177</v>
      </c>
      <c r="C211" s="56"/>
      <c r="D211" s="51">
        <v>1</v>
      </c>
      <c r="E211" s="69">
        <v>3</v>
      </c>
      <c r="F211" s="69"/>
      <c r="G211" s="69">
        <v>2.65</v>
      </c>
      <c r="H211" s="69">
        <v>1</v>
      </c>
      <c r="I211" s="69">
        <f t="shared" ref="I211" si="40">PRODUCT(E211:H211)</f>
        <v>7.9499999999999993</v>
      </c>
      <c r="J211" s="69">
        <f t="shared" ref="J211" si="41">I211*D211</f>
        <v>7.9499999999999993</v>
      </c>
      <c r="K211" s="2" t="s">
        <v>198</v>
      </c>
      <c r="M211" s="52"/>
    </row>
    <row r="212" spans="1:13" outlineLevel="1">
      <c r="A212" s="3"/>
      <c r="B212" s="53" t="s">
        <v>261</v>
      </c>
      <c r="C212" s="56"/>
      <c r="D212" s="51">
        <v>1</v>
      </c>
      <c r="E212" s="69">
        <v>1.77</v>
      </c>
      <c r="F212" s="69"/>
      <c r="G212" s="69">
        <v>1.77</v>
      </c>
      <c r="H212" s="69">
        <v>-1</v>
      </c>
      <c r="I212" s="69">
        <f>PRODUCT(E212:H212)</f>
        <v>-3.1329000000000002</v>
      </c>
      <c r="J212" s="69">
        <f>I212*D212</f>
        <v>-3.1329000000000002</v>
      </c>
      <c r="K212" s="2"/>
      <c r="M212" s="52"/>
    </row>
    <row r="213" spans="1:13" outlineLevel="1">
      <c r="A213" s="3"/>
      <c r="B213" s="53" t="s">
        <v>179</v>
      </c>
      <c r="C213" s="56"/>
      <c r="D213" s="51">
        <v>1</v>
      </c>
      <c r="E213" s="69">
        <f>(2717+100)/1000</f>
        <v>2.8170000000000002</v>
      </c>
      <c r="F213" s="69"/>
      <c r="G213" s="69">
        <v>2.65</v>
      </c>
      <c r="H213" s="69">
        <v>1</v>
      </c>
      <c r="I213" s="69">
        <f t="shared" ref="I213:I214" si="42">PRODUCT(E213:H213)</f>
        <v>7.4650500000000006</v>
      </c>
      <c r="J213" s="69">
        <f t="shared" ref="J213:J214" si="43">I213*D213</f>
        <v>7.4650500000000006</v>
      </c>
      <c r="K213" s="2"/>
      <c r="M213" s="52"/>
    </row>
    <row r="214" spans="1:13" outlineLevel="1">
      <c r="A214" s="3"/>
      <c r="B214" s="53" t="s">
        <v>180</v>
      </c>
      <c r="C214" s="56"/>
      <c r="D214" s="51">
        <v>1</v>
      </c>
      <c r="E214" s="69">
        <f>(65+100+100+1253)/1000</f>
        <v>1.518</v>
      </c>
      <c r="F214" s="69"/>
      <c r="G214" s="69">
        <v>2.65</v>
      </c>
      <c r="H214" s="69">
        <v>1</v>
      </c>
      <c r="I214" s="69">
        <f t="shared" si="42"/>
        <v>4.0226999999999995</v>
      </c>
      <c r="J214" s="69">
        <f t="shared" si="43"/>
        <v>4.0226999999999995</v>
      </c>
      <c r="K214" s="2"/>
      <c r="M214" s="52"/>
    </row>
    <row r="215" spans="1:13" outlineLevel="1">
      <c r="A215" s="3"/>
      <c r="B215" s="32" t="s">
        <v>191</v>
      </c>
      <c r="C215" s="54" t="s">
        <v>12</v>
      </c>
      <c r="D215" s="3">
        <v>2</v>
      </c>
      <c r="E215" s="66"/>
      <c r="F215" s="66"/>
      <c r="G215" s="66"/>
      <c r="H215" s="66"/>
      <c r="I215" s="67">
        <f>+SUM(I216:I219)</f>
        <v>16.940850000000001</v>
      </c>
      <c r="J215" s="67">
        <f>I215*D215</f>
        <v>33.881700000000002</v>
      </c>
      <c r="K215" s="2" t="s">
        <v>200</v>
      </c>
      <c r="M215" s="52"/>
    </row>
    <row r="216" spans="1:13" outlineLevel="1">
      <c r="A216" s="2"/>
      <c r="B216" s="62" t="s">
        <v>177</v>
      </c>
      <c r="C216" s="55"/>
      <c r="D216" s="2">
        <v>1</v>
      </c>
      <c r="E216" s="70">
        <f>(100+1050+2960)/1000</f>
        <v>4.1100000000000003</v>
      </c>
      <c r="F216" s="70"/>
      <c r="G216" s="70">
        <v>2.65</v>
      </c>
      <c r="H216" s="70">
        <v>1</v>
      </c>
      <c r="I216" s="69">
        <f>PRODUCT(E216:H216)</f>
        <v>10.891500000000001</v>
      </c>
      <c r="J216" s="69">
        <f>I216*D216</f>
        <v>10.891500000000001</v>
      </c>
      <c r="K216" s="2"/>
      <c r="M216" s="52"/>
    </row>
    <row r="217" spans="1:13" outlineLevel="1">
      <c r="A217" s="3"/>
      <c r="B217" s="53" t="s">
        <v>261</v>
      </c>
      <c r="C217" s="56"/>
      <c r="D217" s="51">
        <v>1</v>
      </c>
      <c r="E217" s="69">
        <v>1.77</v>
      </c>
      <c r="F217" s="69"/>
      <c r="G217" s="69">
        <v>1.77</v>
      </c>
      <c r="H217" s="69">
        <v>-1</v>
      </c>
      <c r="I217" s="69">
        <f>PRODUCT(E217:H217)</f>
        <v>-3.1329000000000002</v>
      </c>
      <c r="J217" s="69">
        <f>I217*D217</f>
        <v>-3.1329000000000002</v>
      </c>
      <c r="K217" s="2"/>
      <c r="M217" s="52"/>
    </row>
    <row r="218" spans="1:13" outlineLevel="1">
      <c r="A218" s="3"/>
      <c r="B218" s="53" t="s">
        <v>179</v>
      </c>
      <c r="C218" s="56"/>
      <c r="D218" s="51">
        <v>1</v>
      </c>
      <c r="E218" s="69">
        <f>(50+100+100+365)/1000</f>
        <v>0.61499999999999999</v>
      </c>
      <c r="F218" s="69"/>
      <c r="G218" s="69">
        <v>2.65</v>
      </c>
      <c r="H218" s="69">
        <v>1</v>
      </c>
      <c r="I218" s="69">
        <f>PRODUCT(E218:H218)</f>
        <v>1.62975</v>
      </c>
      <c r="J218" s="69">
        <f>I218*D218</f>
        <v>1.62975</v>
      </c>
      <c r="K218" s="2"/>
      <c r="M218" s="52"/>
    </row>
    <row r="219" spans="1:13" outlineLevel="1">
      <c r="A219" s="2"/>
      <c r="B219" s="62" t="s">
        <v>180</v>
      </c>
      <c r="C219" s="55"/>
      <c r="D219" s="2">
        <v>1</v>
      </c>
      <c r="E219" s="70">
        <f>(330+1920+600)/1000</f>
        <v>2.85</v>
      </c>
      <c r="F219" s="70"/>
      <c r="G219" s="70">
        <v>2.65</v>
      </c>
      <c r="H219" s="70">
        <v>1</v>
      </c>
      <c r="I219" s="69">
        <f>PRODUCT(E219:H219)</f>
        <v>7.5525000000000002</v>
      </c>
      <c r="J219" s="69">
        <f>I219*D219</f>
        <v>7.5525000000000002</v>
      </c>
      <c r="K219" s="2"/>
      <c r="M219" s="52"/>
    </row>
    <row r="220" spans="1:13" outlineLevel="1">
      <c r="A220" s="3"/>
      <c r="B220" s="32" t="s">
        <v>194</v>
      </c>
      <c r="C220" s="54"/>
      <c r="D220" s="3">
        <v>2</v>
      </c>
      <c r="E220" s="66"/>
      <c r="F220" s="66"/>
      <c r="G220" s="66"/>
      <c r="H220" s="66"/>
      <c r="I220" s="67">
        <f>+SUM(I221:I224)</f>
        <v>33.331099999999999</v>
      </c>
      <c r="J220" s="67">
        <f>+D220*I220</f>
        <v>66.662199999999999</v>
      </c>
      <c r="K220" s="2"/>
      <c r="M220" s="52"/>
    </row>
    <row r="221" spans="1:13" outlineLevel="1">
      <c r="A221" s="3"/>
      <c r="B221" s="53" t="s">
        <v>177</v>
      </c>
      <c r="C221" s="56"/>
      <c r="D221" s="51">
        <v>1</v>
      </c>
      <c r="E221" s="69">
        <f>(3000+1850+1700+150)/1000</f>
        <v>6.7</v>
      </c>
      <c r="F221" s="69"/>
      <c r="G221" s="69">
        <v>2.65</v>
      </c>
      <c r="H221" s="69">
        <v>1</v>
      </c>
      <c r="I221" s="69">
        <f>PRODUCT(E221:H221)</f>
        <v>17.754999999999999</v>
      </c>
      <c r="J221" s="69">
        <f t="shared" ref="J221:J245" si="44">I221*D221</f>
        <v>17.754999999999999</v>
      </c>
      <c r="K221" s="2" t="s">
        <v>199</v>
      </c>
      <c r="M221" s="52"/>
    </row>
    <row r="222" spans="1:13" outlineLevel="1">
      <c r="A222" s="3"/>
      <c r="B222" s="53" t="s">
        <v>261</v>
      </c>
      <c r="C222" s="56"/>
      <c r="D222" s="51">
        <v>1</v>
      </c>
      <c r="E222" s="69">
        <v>1.77</v>
      </c>
      <c r="F222" s="69"/>
      <c r="G222" s="69">
        <v>1.77</v>
      </c>
      <c r="H222" s="69">
        <v>-1</v>
      </c>
      <c r="I222" s="69">
        <f>PRODUCT(E222:H222)</f>
        <v>-3.1329000000000002</v>
      </c>
      <c r="J222" s="69">
        <f t="shared" si="44"/>
        <v>-3.1329000000000002</v>
      </c>
      <c r="K222" s="2"/>
      <c r="M222" s="52"/>
    </row>
    <row r="223" spans="1:13" outlineLevel="1">
      <c r="A223" s="3"/>
      <c r="B223" s="53" t="s">
        <v>179</v>
      </c>
      <c r="C223" s="56"/>
      <c r="D223" s="51">
        <v>1</v>
      </c>
      <c r="E223" s="69">
        <f>(1915+690+150)/1000</f>
        <v>2.7549999999999999</v>
      </c>
      <c r="F223" s="69"/>
      <c r="G223" s="69">
        <v>2.65</v>
      </c>
      <c r="H223" s="69">
        <v>1</v>
      </c>
      <c r="I223" s="69">
        <f>PRODUCT(E223:H223)</f>
        <v>7.3007499999999999</v>
      </c>
      <c r="J223" s="69">
        <f t="shared" si="44"/>
        <v>7.3007499999999999</v>
      </c>
      <c r="K223" s="2"/>
      <c r="M223" s="52"/>
    </row>
    <row r="224" spans="1:13" outlineLevel="1">
      <c r="A224" s="3"/>
      <c r="B224" s="53" t="s">
        <v>180</v>
      </c>
      <c r="C224" s="56"/>
      <c r="D224" s="51">
        <v>1</v>
      </c>
      <c r="E224" s="69">
        <f>(485+445+2225+100+100+950)/1000</f>
        <v>4.3049999999999997</v>
      </c>
      <c r="F224" s="69"/>
      <c r="G224" s="69">
        <v>2.65</v>
      </c>
      <c r="H224" s="69">
        <v>1</v>
      </c>
      <c r="I224" s="69">
        <f>PRODUCT(E224:H224)</f>
        <v>11.408249999999999</v>
      </c>
      <c r="J224" s="69">
        <f t="shared" si="44"/>
        <v>11.408249999999999</v>
      </c>
      <c r="K224" s="2"/>
      <c r="M224" s="52"/>
    </row>
    <row r="225" spans="1:13" outlineLevel="1">
      <c r="A225" s="3"/>
      <c r="B225" s="32" t="s">
        <v>195</v>
      </c>
      <c r="C225" s="54"/>
      <c r="D225" s="3">
        <v>2</v>
      </c>
      <c r="E225" s="66"/>
      <c r="F225" s="66"/>
      <c r="G225" s="66"/>
      <c r="H225" s="66"/>
      <c r="I225" s="67">
        <f>+SUM(I226:I228)</f>
        <v>33.052849999999999</v>
      </c>
      <c r="J225" s="67">
        <f t="shared" si="44"/>
        <v>66.105699999999999</v>
      </c>
      <c r="K225" s="2" t="s">
        <v>203</v>
      </c>
      <c r="M225" s="52"/>
    </row>
    <row r="226" spans="1:13" outlineLevel="1">
      <c r="A226" s="2"/>
      <c r="B226" s="62" t="s">
        <v>177</v>
      </c>
      <c r="C226" s="55"/>
      <c r="D226" s="2">
        <v>1</v>
      </c>
      <c r="E226" s="70">
        <f>(3000+1850+150+2400)/1000</f>
        <v>7.4</v>
      </c>
      <c r="F226" s="70"/>
      <c r="G226" s="70">
        <v>2.65</v>
      </c>
      <c r="H226" s="70">
        <v>1</v>
      </c>
      <c r="I226" s="69">
        <f>PRODUCT(E226:H226)</f>
        <v>19.61</v>
      </c>
      <c r="J226" s="69">
        <f t="shared" si="44"/>
        <v>19.61</v>
      </c>
      <c r="K226" s="2"/>
      <c r="M226" s="52"/>
    </row>
    <row r="227" spans="1:13" outlineLevel="1">
      <c r="A227" s="3"/>
      <c r="B227" s="53" t="s">
        <v>261</v>
      </c>
      <c r="C227" s="56"/>
      <c r="D227" s="51">
        <v>1</v>
      </c>
      <c r="E227" s="69">
        <v>1.77</v>
      </c>
      <c r="F227" s="69"/>
      <c r="G227" s="69">
        <v>1.77</v>
      </c>
      <c r="H227" s="69">
        <v>-1</v>
      </c>
      <c r="I227" s="69">
        <f>PRODUCT(E227:H227)</f>
        <v>-3.1329000000000002</v>
      </c>
      <c r="J227" s="69">
        <f t="shared" si="44"/>
        <v>-3.1329000000000002</v>
      </c>
      <c r="K227" s="2"/>
      <c r="M227" s="52"/>
    </row>
    <row r="228" spans="1:13" outlineLevel="1">
      <c r="A228" s="2"/>
      <c r="B228" s="62" t="s">
        <v>180</v>
      </c>
      <c r="C228" s="55"/>
      <c r="D228" s="2">
        <v>1</v>
      </c>
      <c r="E228" s="70">
        <f>(2290+2715+100+100+1050)/1000</f>
        <v>6.2549999999999999</v>
      </c>
      <c r="F228" s="70"/>
      <c r="G228" s="70">
        <v>2.65</v>
      </c>
      <c r="H228" s="70">
        <v>1</v>
      </c>
      <c r="I228" s="69">
        <f>PRODUCT(E228:H228)</f>
        <v>16.575749999999999</v>
      </c>
      <c r="J228" s="69">
        <f t="shared" si="44"/>
        <v>16.575749999999999</v>
      </c>
      <c r="K228" s="2"/>
      <c r="M228" s="52"/>
    </row>
    <row r="229" spans="1:13" outlineLevel="1">
      <c r="A229" s="3"/>
      <c r="B229" s="32" t="s">
        <v>196</v>
      </c>
      <c r="C229" s="54"/>
      <c r="D229" s="3">
        <v>2</v>
      </c>
      <c r="E229" s="66"/>
      <c r="F229" s="66"/>
      <c r="G229" s="66"/>
      <c r="H229" s="66"/>
      <c r="I229" s="67">
        <f>+SUM(I230:I234)</f>
        <v>15.689449999999997</v>
      </c>
      <c r="J229" s="67">
        <f t="shared" si="44"/>
        <v>31.378899999999994</v>
      </c>
      <c r="K229" s="2" t="s">
        <v>204</v>
      </c>
      <c r="M229" s="52"/>
    </row>
    <row r="230" spans="1:13" outlineLevel="1">
      <c r="A230" s="2"/>
      <c r="B230" s="62" t="s">
        <v>177</v>
      </c>
      <c r="C230" s="55"/>
      <c r="D230" s="2">
        <v>1</v>
      </c>
      <c r="E230" s="70">
        <f>(100+450+2700)/1000</f>
        <v>3.25</v>
      </c>
      <c r="F230" s="70"/>
      <c r="G230" s="70">
        <v>2.65</v>
      </c>
      <c r="H230" s="70">
        <v>1</v>
      </c>
      <c r="I230" s="69">
        <f>PRODUCT(E230:H230)</f>
        <v>8.6124999999999989</v>
      </c>
      <c r="J230" s="69">
        <f t="shared" si="44"/>
        <v>8.6124999999999989</v>
      </c>
      <c r="K230" s="2"/>
      <c r="M230" s="52"/>
    </row>
    <row r="231" spans="1:13" outlineLevel="1">
      <c r="A231" s="3"/>
      <c r="B231" s="53" t="s">
        <v>261</v>
      </c>
      <c r="C231" s="56"/>
      <c r="D231" s="51">
        <v>1</v>
      </c>
      <c r="E231" s="69">
        <v>1.77</v>
      </c>
      <c r="F231" s="69"/>
      <c r="G231" s="69">
        <v>1.77</v>
      </c>
      <c r="H231" s="69">
        <v>-1</v>
      </c>
      <c r="I231" s="69">
        <f>PRODUCT(E231:H231)</f>
        <v>-3.1329000000000002</v>
      </c>
      <c r="J231" s="69">
        <f t="shared" si="44"/>
        <v>-3.1329000000000002</v>
      </c>
      <c r="K231" s="2"/>
      <c r="M231" s="52"/>
    </row>
    <row r="232" spans="1:13" outlineLevel="1">
      <c r="A232" s="2"/>
      <c r="B232" s="53" t="s">
        <v>179</v>
      </c>
      <c r="C232" s="56"/>
      <c r="D232" s="51">
        <v>1</v>
      </c>
      <c r="E232" s="69">
        <v>3.05</v>
      </c>
      <c r="F232" s="69"/>
      <c r="G232" s="69">
        <v>2.65</v>
      </c>
      <c r="H232" s="69">
        <v>1</v>
      </c>
      <c r="I232" s="69">
        <f>PRODUCT(E232:H232)</f>
        <v>8.0824999999999996</v>
      </c>
      <c r="J232" s="69">
        <f t="shared" si="44"/>
        <v>8.0824999999999996</v>
      </c>
      <c r="K232" s="2"/>
      <c r="M232" s="52"/>
    </row>
    <row r="233" spans="1:13" outlineLevel="1">
      <c r="A233" s="3"/>
      <c r="B233" s="53" t="s">
        <v>261</v>
      </c>
      <c r="C233" s="56"/>
      <c r="D233" s="51">
        <v>1</v>
      </c>
      <c r="E233" s="69">
        <v>1.77</v>
      </c>
      <c r="F233" s="69"/>
      <c r="G233" s="69">
        <v>1.77</v>
      </c>
      <c r="H233" s="69">
        <v>-1</v>
      </c>
      <c r="I233" s="69">
        <f>PRODUCT(E233:H233)</f>
        <v>-3.1329000000000002</v>
      </c>
      <c r="J233" s="69">
        <f t="shared" si="44"/>
        <v>-3.1329000000000002</v>
      </c>
      <c r="K233" s="2"/>
      <c r="M233" s="52"/>
    </row>
    <row r="234" spans="1:13" outlineLevel="1">
      <c r="A234" s="2"/>
      <c r="B234" s="53" t="s">
        <v>180</v>
      </c>
      <c r="C234" s="56"/>
      <c r="D234" s="51">
        <v>1</v>
      </c>
      <c r="E234" s="69">
        <f>(600+330+1055)/1000</f>
        <v>1.9850000000000001</v>
      </c>
      <c r="F234" s="69"/>
      <c r="G234" s="69">
        <v>2.65</v>
      </c>
      <c r="H234" s="69">
        <v>1</v>
      </c>
      <c r="I234" s="69">
        <f>PRODUCT(E234:H234)</f>
        <v>5.2602500000000001</v>
      </c>
      <c r="J234" s="69">
        <f t="shared" si="44"/>
        <v>5.2602500000000001</v>
      </c>
      <c r="K234" s="2"/>
      <c r="M234" s="52"/>
    </row>
    <row r="235" spans="1:13" s="4" customFormat="1" ht="14.25" outlineLevel="1">
      <c r="A235" s="3"/>
      <c r="B235" s="32" t="s">
        <v>101</v>
      </c>
      <c r="C235" s="54"/>
      <c r="D235" s="3">
        <v>2</v>
      </c>
      <c r="E235" s="66"/>
      <c r="F235" s="66"/>
      <c r="G235" s="66"/>
      <c r="H235" s="66"/>
      <c r="I235" s="67">
        <f>+SUM(I236:I246)</f>
        <v>56.252699999999997</v>
      </c>
      <c r="J235" s="67">
        <f t="shared" si="44"/>
        <v>112.50539999999999</v>
      </c>
      <c r="K235" s="3"/>
      <c r="M235" s="63"/>
    </row>
    <row r="236" spans="1:13" outlineLevel="1">
      <c r="A236" s="2"/>
      <c r="B236" s="53"/>
      <c r="C236" s="56"/>
      <c r="D236" s="51">
        <v>1</v>
      </c>
      <c r="E236" s="69">
        <v>1.6</v>
      </c>
      <c r="F236" s="69"/>
      <c r="G236" s="69">
        <v>2.5</v>
      </c>
      <c r="H236" s="69">
        <v>2</v>
      </c>
      <c r="I236" s="69">
        <f t="shared" ref="I236:I245" si="45">PRODUCT(E236:H236)</f>
        <v>8</v>
      </c>
      <c r="J236" s="69">
        <f t="shared" si="44"/>
        <v>8</v>
      </c>
      <c r="K236" s="2"/>
      <c r="M236" s="52"/>
    </row>
    <row r="237" spans="1:13" outlineLevel="1">
      <c r="A237" s="2"/>
      <c r="B237" s="53" t="s">
        <v>276</v>
      </c>
      <c r="C237" s="56"/>
      <c r="D237" s="51">
        <v>1</v>
      </c>
      <c r="E237" s="69">
        <v>1.4</v>
      </c>
      <c r="F237" s="69"/>
      <c r="G237" s="69">
        <v>2.5</v>
      </c>
      <c r="H237" s="69">
        <v>-1</v>
      </c>
      <c r="I237" s="69">
        <f t="shared" si="45"/>
        <v>-3.5</v>
      </c>
      <c r="J237" s="69">
        <f t="shared" si="44"/>
        <v>-3.5</v>
      </c>
      <c r="K237" s="2"/>
      <c r="M237" s="52"/>
    </row>
    <row r="238" spans="1:13" outlineLevel="1">
      <c r="A238" s="2"/>
      <c r="B238" s="53"/>
      <c r="C238" s="56"/>
      <c r="D238" s="51">
        <v>1</v>
      </c>
      <c r="E238" s="69">
        <f>16*0.3</f>
        <v>4.8</v>
      </c>
      <c r="F238" s="69"/>
      <c r="G238" s="69">
        <v>2.5</v>
      </c>
      <c r="H238" s="69">
        <v>1</v>
      </c>
      <c r="I238" s="69">
        <f t="shared" si="45"/>
        <v>12</v>
      </c>
      <c r="J238" s="69">
        <f t="shared" si="44"/>
        <v>12</v>
      </c>
      <c r="K238" s="2"/>
      <c r="M238" s="52"/>
    </row>
    <row r="239" spans="1:13" outlineLevel="1">
      <c r="A239" s="2"/>
      <c r="B239" s="53"/>
      <c r="C239" s="56"/>
      <c r="D239" s="51">
        <v>1</v>
      </c>
      <c r="E239" s="69">
        <f>(2700+5400+3200)/1000</f>
        <v>11.3</v>
      </c>
      <c r="F239" s="69"/>
      <c r="G239" s="69">
        <v>2.5</v>
      </c>
      <c r="H239" s="69">
        <v>1</v>
      </c>
      <c r="I239" s="69">
        <f t="shared" si="45"/>
        <v>28.25</v>
      </c>
      <c r="J239" s="69">
        <f t="shared" si="44"/>
        <v>28.25</v>
      </c>
      <c r="K239" s="2"/>
      <c r="M239" s="52"/>
    </row>
    <row r="240" spans="1:13" outlineLevel="1">
      <c r="A240" s="2"/>
      <c r="B240" s="53" t="s">
        <v>13</v>
      </c>
      <c r="C240" s="56"/>
      <c r="D240" s="51">
        <v>1</v>
      </c>
      <c r="E240" s="69">
        <v>1.33</v>
      </c>
      <c r="F240" s="69"/>
      <c r="G240" s="69">
        <v>2.2000000000000002</v>
      </c>
      <c r="H240" s="69">
        <v>-2</v>
      </c>
      <c r="I240" s="69">
        <f t="shared" si="45"/>
        <v>-5.8520000000000012</v>
      </c>
      <c r="J240" s="69">
        <f t="shared" si="44"/>
        <v>-5.8520000000000012</v>
      </c>
      <c r="K240" s="2"/>
      <c r="M240" s="52"/>
    </row>
    <row r="241" spans="1:13" outlineLevel="1">
      <c r="A241" s="2"/>
      <c r="B241" s="53"/>
      <c r="C241" s="56"/>
      <c r="D241" s="51">
        <v>1</v>
      </c>
      <c r="E241" s="69">
        <v>0.8</v>
      </c>
      <c r="F241" s="69"/>
      <c r="G241" s="69">
        <v>2.2000000000000002</v>
      </c>
      <c r="H241" s="69">
        <v>-2</v>
      </c>
      <c r="I241" s="69">
        <f t="shared" si="45"/>
        <v>-3.5200000000000005</v>
      </c>
      <c r="J241" s="69">
        <f t="shared" si="44"/>
        <v>-3.5200000000000005</v>
      </c>
      <c r="K241" s="2"/>
      <c r="M241" s="52"/>
    </row>
    <row r="242" spans="1:13" outlineLevel="1">
      <c r="A242" s="2"/>
      <c r="B242" s="53"/>
      <c r="C242" s="56"/>
      <c r="D242" s="51">
        <v>1</v>
      </c>
      <c r="E242" s="69">
        <f>(1035+1610+150+1800+1600+1800+150+1440)/1000</f>
        <v>9.5850000000000009</v>
      </c>
      <c r="F242" s="69"/>
      <c r="G242" s="69">
        <v>2.5</v>
      </c>
      <c r="H242" s="69">
        <v>1</v>
      </c>
      <c r="I242" s="69">
        <f t="shared" si="45"/>
        <v>23.962500000000002</v>
      </c>
      <c r="J242" s="69">
        <f t="shared" si="44"/>
        <v>23.962500000000002</v>
      </c>
      <c r="K242" s="2"/>
      <c r="M242" s="52"/>
    </row>
    <row r="243" spans="1:13" outlineLevel="1">
      <c r="A243" s="2"/>
      <c r="B243" s="53" t="s">
        <v>277</v>
      </c>
      <c r="C243" s="56"/>
      <c r="D243" s="51">
        <v>1</v>
      </c>
      <c r="E243" s="69">
        <v>1.07</v>
      </c>
      <c r="F243" s="69"/>
      <c r="G243" s="69">
        <v>1.77</v>
      </c>
      <c r="H243" s="69">
        <v>-2</v>
      </c>
      <c r="I243" s="69">
        <f t="shared" si="45"/>
        <v>-3.7878000000000003</v>
      </c>
      <c r="J243" s="69">
        <f t="shared" si="44"/>
        <v>-3.7878000000000003</v>
      </c>
      <c r="K243" s="2"/>
      <c r="M243" s="52"/>
    </row>
    <row r="244" spans="1:13" outlineLevel="1">
      <c r="A244" s="2"/>
      <c r="B244" s="53"/>
      <c r="C244" s="56" t="s">
        <v>274</v>
      </c>
      <c r="D244" s="51">
        <v>1</v>
      </c>
      <c r="E244" s="69">
        <v>1.6</v>
      </c>
      <c r="F244" s="69"/>
      <c r="G244" s="69">
        <v>2.5</v>
      </c>
      <c r="H244" s="69">
        <v>1</v>
      </c>
      <c r="I244" s="69">
        <f t="shared" si="45"/>
        <v>4</v>
      </c>
      <c r="J244" s="69">
        <f t="shared" si="44"/>
        <v>4</v>
      </c>
      <c r="K244" s="2"/>
      <c r="M244" s="52"/>
    </row>
    <row r="245" spans="1:13" outlineLevel="1">
      <c r="A245" s="2"/>
      <c r="B245" s="53"/>
      <c r="C245" s="56"/>
      <c r="D245" s="51">
        <v>1</v>
      </c>
      <c r="E245" s="69">
        <v>1.5</v>
      </c>
      <c r="F245" s="69"/>
      <c r="G245" s="69">
        <v>2.2000000000000002</v>
      </c>
      <c r="H245" s="69">
        <v>-1</v>
      </c>
      <c r="I245" s="69">
        <f t="shared" si="45"/>
        <v>-3.3000000000000003</v>
      </c>
      <c r="J245" s="69">
        <f t="shared" si="44"/>
        <v>-3.3000000000000003</v>
      </c>
      <c r="K245" s="2"/>
      <c r="M245" s="52"/>
    </row>
    <row r="246" spans="1:13" outlineLevel="1">
      <c r="A246" s="2"/>
      <c r="B246" s="32" t="s">
        <v>278</v>
      </c>
      <c r="C246" s="56"/>
      <c r="D246" s="51"/>
      <c r="E246" s="69"/>
      <c r="F246" s="69"/>
      <c r="G246" s="69"/>
      <c r="H246" s="69"/>
      <c r="I246" s="69"/>
      <c r="J246" s="67">
        <v>508.06549999999993</v>
      </c>
      <c r="K246" s="2"/>
      <c r="M246" s="52"/>
    </row>
    <row r="247" spans="1:13">
      <c r="A247" s="58">
        <v>2</v>
      </c>
      <c r="B247" s="59" t="s">
        <v>279</v>
      </c>
      <c r="C247" s="60"/>
      <c r="D247" s="58"/>
      <c r="E247" s="68"/>
      <c r="F247" s="68"/>
      <c r="G247" s="68"/>
      <c r="H247" s="68"/>
      <c r="I247" s="68"/>
      <c r="J247" s="68">
        <f>+D247*I247</f>
        <v>0</v>
      </c>
      <c r="K247" s="61"/>
      <c r="M247" s="52"/>
    </row>
    <row r="248" spans="1:13">
      <c r="A248" s="58"/>
      <c r="B248" s="59" t="s">
        <v>280</v>
      </c>
      <c r="C248" s="60"/>
      <c r="D248" s="58">
        <v>1</v>
      </c>
      <c r="E248" s="68"/>
      <c r="F248" s="68"/>
      <c r="G248" s="68"/>
      <c r="H248" s="68"/>
      <c r="I248" s="68">
        <f>+SUM(J249:J297)</f>
        <v>4248.9724999999999</v>
      </c>
      <c r="J248" s="68">
        <f>+D248*I248</f>
        <v>4248.9724999999999</v>
      </c>
      <c r="K248" s="61"/>
      <c r="M248" s="52"/>
    </row>
    <row r="249" spans="1:13" outlineLevel="1">
      <c r="A249" s="3"/>
      <c r="B249" s="53" t="s">
        <v>281</v>
      </c>
      <c r="C249" s="56"/>
      <c r="D249" s="51">
        <v>2</v>
      </c>
      <c r="E249" s="69">
        <f>(5900+1200+150+150+150+1200+153+2550+300+7440+2650+300+2650+1630+8975+1630+100+2800+100+3590+100+2400+1200+100+75+150)/1000</f>
        <v>47.643000000000001</v>
      </c>
      <c r="F249" s="69"/>
      <c r="G249" s="69">
        <v>3.75</v>
      </c>
      <c r="H249" s="69">
        <v>1</v>
      </c>
      <c r="I249" s="69">
        <f t="shared" ref="I249:I258" si="46">PRODUCT(E249:H249)</f>
        <v>178.66125</v>
      </c>
      <c r="J249" s="69">
        <f t="shared" ref="J249:J258" si="47">I249*D249</f>
        <v>357.32249999999999</v>
      </c>
      <c r="K249" s="2"/>
      <c r="M249" s="52"/>
    </row>
    <row r="250" spans="1:13" outlineLevel="1">
      <c r="A250" s="3"/>
      <c r="B250" s="53" t="s">
        <v>282</v>
      </c>
      <c r="C250" s="56"/>
      <c r="D250" s="51">
        <v>2</v>
      </c>
      <c r="E250" s="69">
        <v>5.05</v>
      </c>
      <c r="F250" s="69"/>
      <c r="G250" s="69">
        <v>3.6850000000000001</v>
      </c>
      <c r="H250" s="69">
        <v>-1</v>
      </c>
      <c r="I250" s="69">
        <f t="shared" si="46"/>
        <v>-18.609249999999999</v>
      </c>
      <c r="J250" s="69">
        <f t="shared" si="47"/>
        <v>-37.218499999999999</v>
      </c>
      <c r="K250" s="2"/>
      <c r="M250" s="52"/>
    </row>
    <row r="251" spans="1:13" outlineLevel="1">
      <c r="A251" s="3"/>
      <c r="B251" s="53" t="s">
        <v>283</v>
      </c>
      <c r="C251" s="56"/>
      <c r="D251" s="51">
        <v>2</v>
      </c>
      <c r="E251" s="69">
        <v>4.93</v>
      </c>
      <c r="F251" s="69"/>
      <c r="G251" s="69">
        <v>3.6850000000000001</v>
      </c>
      <c r="H251" s="69">
        <v>-1</v>
      </c>
      <c r="I251" s="69">
        <f t="shared" si="46"/>
        <v>-18.16705</v>
      </c>
      <c r="J251" s="69">
        <f t="shared" si="47"/>
        <v>-36.334099999999999</v>
      </c>
      <c r="K251" s="2"/>
      <c r="M251" s="52"/>
    </row>
    <row r="252" spans="1:13" outlineLevel="1">
      <c r="A252" s="3"/>
      <c r="B252" s="53" t="s">
        <v>284</v>
      </c>
      <c r="C252" s="56"/>
      <c r="D252" s="51">
        <v>2</v>
      </c>
      <c r="E252" s="69">
        <f>(7100+150+75+1200+100+2400+100+3590+100+2800+100+1630+7325+1630+175+2800+100+3590+100+2400+100+1200+75+150)/1000</f>
        <v>38.99</v>
      </c>
      <c r="F252" s="69"/>
      <c r="G252" s="69">
        <v>3.75</v>
      </c>
      <c r="H252" s="69">
        <v>1</v>
      </c>
      <c r="I252" s="69">
        <f t="shared" si="46"/>
        <v>146.21250000000001</v>
      </c>
      <c r="J252" s="69">
        <f t="shared" si="47"/>
        <v>292.42500000000001</v>
      </c>
      <c r="K252" s="2"/>
      <c r="M252" s="52"/>
    </row>
    <row r="253" spans="1:13" outlineLevel="1">
      <c r="A253" s="3"/>
      <c r="B253" s="53" t="s">
        <v>285</v>
      </c>
      <c r="C253" s="56"/>
      <c r="D253" s="51">
        <v>2</v>
      </c>
      <c r="E253" s="69">
        <v>6.07</v>
      </c>
      <c r="F253" s="69"/>
      <c r="G253" s="69">
        <v>3.6850000000000001</v>
      </c>
      <c r="H253" s="69">
        <v>-1</v>
      </c>
      <c r="I253" s="69">
        <f t="shared" si="46"/>
        <v>-22.36795</v>
      </c>
      <c r="J253" s="69">
        <f t="shared" si="47"/>
        <v>-44.735900000000001</v>
      </c>
      <c r="K253" s="2"/>
      <c r="M253" s="52"/>
    </row>
    <row r="254" spans="1:13" outlineLevel="1">
      <c r="A254" s="3"/>
      <c r="B254" s="53" t="s">
        <v>286</v>
      </c>
      <c r="C254" s="56"/>
      <c r="D254" s="51">
        <v>2</v>
      </c>
      <c r="E254" s="69">
        <f>(9050+150+75+1200+100+2400+100+3590+100+2650+625+1780+8375+4430+100+3590+100+2400+100+1200+75+150)/1000</f>
        <v>42.34</v>
      </c>
      <c r="F254" s="69"/>
      <c r="G254" s="69">
        <v>3.75</v>
      </c>
      <c r="H254" s="69">
        <v>1</v>
      </c>
      <c r="I254" s="69">
        <f t="shared" si="46"/>
        <v>158.77500000000001</v>
      </c>
      <c r="J254" s="69">
        <f t="shared" si="47"/>
        <v>317.55</v>
      </c>
      <c r="K254" s="2"/>
      <c r="M254" s="52"/>
    </row>
    <row r="255" spans="1:13" outlineLevel="1">
      <c r="A255" s="3"/>
      <c r="B255" s="53" t="s">
        <v>287</v>
      </c>
      <c r="C255" s="56"/>
      <c r="D255" s="51">
        <v>2</v>
      </c>
      <c r="E255" s="69">
        <v>8.02</v>
      </c>
      <c r="F255" s="69"/>
      <c r="G255" s="69">
        <v>3.6850000000000001</v>
      </c>
      <c r="H255" s="69">
        <v>-1</v>
      </c>
      <c r="I255" s="69">
        <f t="shared" si="46"/>
        <v>-29.553699999999999</v>
      </c>
      <c r="J255" s="69">
        <f t="shared" si="47"/>
        <v>-59.107399999999998</v>
      </c>
      <c r="K255" s="2"/>
      <c r="M255" s="52"/>
    </row>
    <row r="256" spans="1:13" outlineLevel="1">
      <c r="A256" s="2"/>
      <c r="B256" s="62" t="s">
        <v>288</v>
      </c>
      <c r="C256" s="55"/>
      <c r="D256" s="51">
        <v>2</v>
      </c>
      <c r="E256" s="70">
        <f>(7100+150+75+1200+100+2400+100+3590+100+2650+7050+2650+3590+100+100+2400+100+1200+75+150)/1000</f>
        <v>34.880000000000003</v>
      </c>
      <c r="F256" s="70"/>
      <c r="G256" s="70">
        <v>3.75</v>
      </c>
      <c r="H256" s="70">
        <v>1</v>
      </c>
      <c r="I256" s="69">
        <f t="shared" si="46"/>
        <v>130.80000000000001</v>
      </c>
      <c r="J256" s="69">
        <f t="shared" si="47"/>
        <v>261.60000000000002</v>
      </c>
      <c r="K256" s="2"/>
      <c r="M256" s="52"/>
    </row>
    <row r="257" spans="1:13" outlineLevel="1">
      <c r="A257" s="2"/>
      <c r="B257" s="62" t="s">
        <v>285</v>
      </c>
      <c r="C257" s="55"/>
      <c r="D257" s="51">
        <v>2</v>
      </c>
      <c r="E257" s="70">
        <v>6.07</v>
      </c>
      <c r="F257" s="70"/>
      <c r="G257" s="69">
        <v>3.6850000000000001</v>
      </c>
      <c r="H257" s="70">
        <v>-1</v>
      </c>
      <c r="I257" s="69">
        <f t="shared" si="46"/>
        <v>-22.36795</v>
      </c>
      <c r="J257" s="69">
        <f t="shared" si="47"/>
        <v>-44.735900000000001</v>
      </c>
      <c r="K257" s="2"/>
      <c r="M257" s="52"/>
    </row>
    <row r="258" spans="1:13" outlineLevel="1">
      <c r="A258" s="3"/>
      <c r="B258" s="62" t="s">
        <v>289</v>
      </c>
      <c r="C258" s="56"/>
      <c r="D258" s="51">
        <v>2</v>
      </c>
      <c r="E258" s="69">
        <f>(150+75+1200+100+2400+100+3590+100+2650+2650+100+3590+100+2400+100+1200+75+150+7100+7050)/1000</f>
        <v>34.880000000000003</v>
      </c>
      <c r="F258" s="69"/>
      <c r="G258" s="69">
        <v>3.75</v>
      </c>
      <c r="H258" s="69">
        <v>1</v>
      </c>
      <c r="I258" s="69">
        <f t="shared" si="46"/>
        <v>130.80000000000001</v>
      </c>
      <c r="J258" s="69">
        <f t="shared" si="47"/>
        <v>261.60000000000002</v>
      </c>
      <c r="K258" s="2"/>
      <c r="M258" s="52"/>
    </row>
    <row r="259" spans="1:13" outlineLevel="1">
      <c r="A259" s="2"/>
      <c r="B259" s="62" t="s">
        <v>285</v>
      </c>
      <c r="C259" s="55"/>
      <c r="D259" s="51">
        <v>2</v>
      </c>
      <c r="E259" s="70">
        <v>6.07</v>
      </c>
      <c r="F259" s="70"/>
      <c r="G259" s="69">
        <v>3.6850000000000001</v>
      </c>
      <c r="H259" s="70">
        <v>-1</v>
      </c>
      <c r="I259" s="69">
        <f t="shared" ref="I259:I260" si="48">PRODUCT(E259:H259)</f>
        <v>-22.36795</v>
      </c>
      <c r="J259" s="69">
        <f t="shared" ref="J259:J260" si="49">I259*D259</f>
        <v>-44.735900000000001</v>
      </c>
      <c r="K259" s="2"/>
      <c r="M259" s="52"/>
    </row>
    <row r="260" spans="1:13" outlineLevel="1">
      <c r="A260" s="2"/>
      <c r="B260" s="62" t="s">
        <v>290</v>
      </c>
      <c r="C260" s="55"/>
      <c r="D260" s="51">
        <v>2</v>
      </c>
      <c r="E260" s="69">
        <f>(150+75+1200+100+2400+100+3590+100+2650+2650+100+3590+100+2400+100+1200+75+150+7100+7050)/1000</f>
        <v>34.880000000000003</v>
      </c>
      <c r="F260" s="69"/>
      <c r="G260" s="69">
        <v>3.75</v>
      </c>
      <c r="H260" s="69">
        <v>1</v>
      </c>
      <c r="I260" s="69">
        <f t="shared" si="48"/>
        <v>130.80000000000001</v>
      </c>
      <c r="J260" s="69">
        <f t="shared" si="49"/>
        <v>261.60000000000002</v>
      </c>
      <c r="K260" s="2"/>
      <c r="M260" s="52"/>
    </row>
    <row r="261" spans="1:13" outlineLevel="1">
      <c r="A261" s="2"/>
      <c r="B261" s="62" t="s">
        <v>285</v>
      </c>
      <c r="C261" s="55"/>
      <c r="D261" s="51">
        <v>2</v>
      </c>
      <c r="E261" s="70">
        <v>6.07</v>
      </c>
      <c r="F261" s="70"/>
      <c r="G261" s="69">
        <v>3.6850000000000001</v>
      </c>
      <c r="H261" s="70">
        <v>-1</v>
      </c>
      <c r="I261" s="69">
        <f t="shared" ref="I261:I262" si="50">PRODUCT(E261:H261)</f>
        <v>-22.36795</v>
      </c>
      <c r="J261" s="69">
        <f t="shared" ref="J261:J262" si="51">I261*D261</f>
        <v>-44.735900000000001</v>
      </c>
      <c r="K261" s="2"/>
      <c r="M261" s="52"/>
    </row>
    <row r="262" spans="1:13" outlineLevel="1">
      <c r="A262" s="3"/>
      <c r="B262" s="53" t="s">
        <v>291</v>
      </c>
      <c r="C262" s="56"/>
      <c r="D262" s="51">
        <v>2</v>
      </c>
      <c r="E262" s="69">
        <v>0.93</v>
      </c>
      <c r="F262" s="69"/>
      <c r="G262" s="69">
        <v>2.2000000000000002</v>
      </c>
      <c r="H262" s="69">
        <v>-1</v>
      </c>
      <c r="I262" s="69">
        <f t="shared" si="50"/>
        <v>-2.0460000000000003</v>
      </c>
      <c r="J262" s="69">
        <f t="shared" si="51"/>
        <v>-4.0920000000000005</v>
      </c>
      <c r="K262" s="2"/>
      <c r="M262" s="52"/>
    </row>
    <row r="263" spans="1:13" outlineLevel="1">
      <c r="A263" s="2"/>
      <c r="B263" s="62" t="s">
        <v>292</v>
      </c>
      <c r="C263" s="55"/>
      <c r="D263" s="51">
        <v>2</v>
      </c>
      <c r="E263" s="70">
        <f>(150+75+1200+100+2400+100+3590+100+2650+10050+2650+100+3590+100+2400+100+1200+75+150+10100)/1000</f>
        <v>40.880000000000003</v>
      </c>
      <c r="F263" s="70"/>
      <c r="G263" s="70">
        <v>3.75</v>
      </c>
      <c r="H263" s="70">
        <v>1</v>
      </c>
      <c r="I263" s="69">
        <f t="shared" ref="I263:I271" si="52">PRODUCT(E263:H263)</f>
        <v>153.30000000000001</v>
      </c>
      <c r="J263" s="69">
        <f t="shared" ref="J263:J271" si="53">I263*D263</f>
        <v>306.60000000000002</v>
      </c>
      <c r="K263" s="2"/>
      <c r="M263" s="52"/>
    </row>
    <row r="264" spans="1:13" outlineLevel="1">
      <c r="A264" s="3"/>
      <c r="B264" s="53" t="s">
        <v>293</v>
      </c>
      <c r="C264" s="56"/>
      <c r="D264" s="51">
        <v>2</v>
      </c>
      <c r="E264" s="69">
        <v>9.07</v>
      </c>
      <c r="F264" s="69"/>
      <c r="G264" s="69">
        <v>3.6850000000000001</v>
      </c>
      <c r="H264" s="70">
        <v>-1</v>
      </c>
      <c r="I264" s="69">
        <f t="shared" si="52"/>
        <v>-33.42295</v>
      </c>
      <c r="J264" s="69">
        <f t="shared" si="53"/>
        <v>-66.8459</v>
      </c>
      <c r="K264" s="2"/>
      <c r="M264" s="52"/>
    </row>
    <row r="265" spans="1:13" outlineLevel="1">
      <c r="A265" s="3"/>
      <c r="B265" s="53" t="s">
        <v>291</v>
      </c>
      <c r="C265" s="56"/>
      <c r="D265" s="51">
        <v>2</v>
      </c>
      <c r="E265" s="69">
        <v>0.93</v>
      </c>
      <c r="F265" s="69"/>
      <c r="G265" s="69">
        <v>2.2000000000000002</v>
      </c>
      <c r="H265" s="69">
        <v>-1</v>
      </c>
      <c r="I265" s="69">
        <f t="shared" si="52"/>
        <v>-2.0460000000000003</v>
      </c>
      <c r="J265" s="69">
        <f t="shared" si="53"/>
        <v>-4.0920000000000005</v>
      </c>
      <c r="K265" s="2"/>
      <c r="M265" s="52"/>
    </row>
    <row r="266" spans="1:13" outlineLevel="1">
      <c r="A266" s="3"/>
      <c r="B266" s="53" t="s">
        <v>294</v>
      </c>
      <c r="C266" s="56"/>
      <c r="D266" s="51">
        <v>2</v>
      </c>
      <c r="E266" s="69">
        <f>(150+75+1200+100+2400+100+3590+100+4430+7150+1620+100+2800+100+3590+100+2400+100+1200+75+150+7100)/1000</f>
        <v>38.630000000000003</v>
      </c>
      <c r="F266" s="69"/>
      <c r="G266" s="70">
        <v>3.75</v>
      </c>
      <c r="H266" s="70">
        <v>1</v>
      </c>
      <c r="I266" s="69">
        <f t="shared" si="52"/>
        <v>144.86250000000001</v>
      </c>
      <c r="J266" s="69">
        <f t="shared" si="53"/>
        <v>289.72500000000002</v>
      </c>
      <c r="K266" s="2"/>
      <c r="M266" s="52"/>
    </row>
    <row r="267" spans="1:13" outlineLevel="1">
      <c r="A267" s="3"/>
      <c r="B267" s="53" t="s">
        <v>285</v>
      </c>
      <c r="C267" s="56"/>
      <c r="D267" s="51">
        <v>2</v>
      </c>
      <c r="E267" s="70">
        <v>6.07</v>
      </c>
      <c r="F267" s="70"/>
      <c r="G267" s="69">
        <v>3.6850000000000001</v>
      </c>
      <c r="H267" s="70">
        <v>-1</v>
      </c>
      <c r="I267" s="69">
        <f t="shared" si="52"/>
        <v>-22.36795</v>
      </c>
      <c r="J267" s="69">
        <f t="shared" si="53"/>
        <v>-44.735900000000001</v>
      </c>
      <c r="K267" s="2"/>
      <c r="M267" s="52"/>
    </row>
    <row r="268" spans="1:13" outlineLevel="1">
      <c r="A268" s="3"/>
      <c r="B268" s="53" t="s">
        <v>291</v>
      </c>
      <c r="C268" s="56"/>
      <c r="D268" s="51">
        <v>2</v>
      </c>
      <c r="E268" s="69">
        <v>0.93</v>
      </c>
      <c r="F268" s="69"/>
      <c r="G268" s="69">
        <v>2.2000000000000002</v>
      </c>
      <c r="H268" s="69">
        <v>-1</v>
      </c>
      <c r="I268" s="69">
        <f t="shared" ref="I268" si="54">PRODUCT(E268:H268)</f>
        <v>-2.0460000000000003</v>
      </c>
      <c r="J268" s="69">
        <f t="shared" ref="J268" si="55">I268*D268</f>
        <v>-4.0920000000000005</v>
      </c>
      <c r="K268" s="2"/>
      <c r="M268" s="52"/>
    </row>
    <row r="269" spans="1:13" outlineLevel="1">
      <c r="A269" s="3"/>
      <c r="B269" s="53" t="s">
        <v>295</v>
      </c>
      <c r="C269" s="56"/>
      <c r="D269" s="51">
        <v>2</v>
      </c>
      <c r="E269" s="69">
        <f>(3590+100+2800+100+1620+8975+1630+2650+300+2650+5590+2550+150+300+1200+150+1200+1850+150+150+5900+2400+100+150+75+1200+100)/1000</f>
        <v>47.63</v>
      </c>
      <c r="F269" s="69"/>
      <c r="G269" s="70">
        <v>3.75</v>
      </c>
      <c r="H269" s="69">
        <v>1</v>
      </c>
      <c r="I269" s="69">
        <f t="shared" si="52"/>
        <v>178.61250000000001</v>
      </c>
      <c r="J269" s="69">
        <f t="shared" si="53"/>
        <v>357.22500000000002</v>
      </c>
      <c r="K269" s="2"/>
      <c r="M269" s="52"/>
    </row>
    <row r="270" spans="1:13" outlineLevel="1">
      <c r="A270" s="3"/>
      <c r="B270" s="53" t="s">
        <v>296</v>
      </c>
      <c r="C270" s="56"/>
      <c r="D270" s="51">
        <v>2</v>
      </c>
      <c r="E270" s="69">
        <v>5.05</v>
      </c>
      <c r="F270" s="69"/>
      <c r="G270" s="69">
        <v>3.6850000000000001</v>
      </c>
      <c r="H270" s="70">
        <v>-1</v>
      </c>
      <c r="I270" s="69">
        <f t="shared" si="52"/>
        <v>-18.609249999999999</v>
      </c>
      <c r="J270" s="69">
        <f t="shared" si="53"/>
        <v>-37.218499999999999</v>
      </c>
      <c r="K270" s="2"/>
      <c r="M270" s="52"/>
    </row>
    <row r="271" spans="1:13" outlineLevel="1">
      <c r="A271" s="3"/>
      <c r="B271" s="53" t="s">
        <v>283</v>
      </c>
      <c r="C271" s="56"/>
      <c r="D271" s="51">
        <v>2</v>
      </c>
      <c r="E271" s="69">
        <v>4.93</v>
      </c>
      <c r="F271" s="69"/>
      <c r="G271" s="69">
        <v>3.6850000000000001</v>
      </c>
      <c r="H271" s="70">
        <v>-1</v>
      </c>
      <c r="I271" s="69">
        <f t="shared" si="52"/>
        <v>-18.16705</v>
      </c>
      <c r="J271" s="69">
        <f t="shared" si="53"/>
        <v>-36.334099999999999</v>
      </c>
      <c r="K271" s="2"/>
      <c r="M271" s="52"/>
    </row>
    <row r="272" spans="1:13" outlineLevel="1">
      <c r="A272" s="3"/>
      <c r="B272" s="53" t="s">
        <v>297</v>
      </c>
      <c r="C272" s="56"/>
      <c r="D272" s="51">
        <v>2</v>
      </c>
      <c r="E272" s="69">
        <f>(8490+7150+2250+400+2250+5850+1050+150+300+2550+1850+150+5590+2650+150+6225+2650+350+2650+7175)/1000</f>
        <v>59.88</v>
      </c>
      <c r="F272" s="69"/>
      <c r="G272" s="70">
        <v>3.75</v>
      </c>
      <c r="H272" s="69">
        <v>1</v>
      </c>
      <c r="I272" s="69">
        <f t="shared" ref="I272:I276" si="56">PRODUCT(E272:H272)</f>
        <v>224.55</v>
      </c>
      <c r="J272" s="69">
        <f t="shared" ref="J272:J276" si="57">I272*D272</f>
        <v>449.1</v>
      </c>
      <c r="K272" s="2"/>
      <c r="M272" s="52"/>
    </row>
    <row r="273" spans="1:13" outlineLevel="1">
      <c r="A273" s="3"/>
      <c r="B273" s="53" t="s">
        <v>298</v>
      </c>
      <c r="C273" s="56"/>
      <c r="D273" s="51">
        <v>2</v>
      </c>
      <c r="E273" s="69">
        <v>5.0599999999999996</v>
      </c>
      <c r="F273" s="69"/>
      <c r="G273" s="69">
        <v>3.6850000000000001</v>
      </c>
      <c r="H273" s="70">
        <v>-1</v>
      </c>
      <c r="I273" s="69">
        <f t="shared" si="56"/>
        <v>-18.646100000000001</v>
      </c>
      <c r="J273" s="69">
        <f t="shared" si="57"/>
        <v>-37.292200000000001</v>
      </c>
      <c r="K273" s="2"/>
      <c r="M273" s="52"/>
    </row>
    <row r="274" spans="1:13" outlineLevel="1">
      <c r="A274" s="3"/>
      <c r="B274" s="53" t="s">
        <v>299</v>
      </c>
      <c r="C274" s="56"/>
      <c r="D274" s="51">
        <v>2</v>
      </c>
      <c r="E274" s="69">
        <v>1.865</v>
      </c>
      <c r="F274" s="69"/>
      <c r="G274" s="69">
        <v>3.6850000000000001</v>
      </c>
      <c r="H274" s="70">
        <v>-1</v>
      </c>
      <c r="I274" s="69">
        <f t="shared" si="56"/>
        <v>-6.8725250000000004</v>
      </c>
      <c r="J274" s="69">
        <f t="shared" si="57"/>
        <v>-13.745050000000001</v>
      </c>
      <c r="K274" s="2"/>
      <c r="M274" s="52"/>
    </row>
    <row r="275" spans="1:13" outlineLevel="1">
      <c r="A275" s="3"/>
      <c r="B275" s="53" t="s">
        <v>300</v>
      </c>
      <c r="C275" s="56"/>
      <c r="D275" s="51">
        <v>2</v>
      </c>
      <c r="E275" s="69">
        <v>5.0199999999999996</v>
      </c>
      <c r="F275" s="69"/>
      <c r="G275" s="69">
        <v>3.6850000000000001</v>
      </c>
      <c r="H275" s="70">
        <v>-1</v>
      </c>
      <c r="I275" s="69">
        <f t="shared" si="56"/>
        <v>-18.498699999999999</v>
      </c>
      <c r="J275" s="69">
        <f t="shared" si="57"/>
        <v>-36.997399999999999</v>
      </c>
      <c r="K275" s="2"/>
      <c r="M275" s="52"/>
    </row>
    <row r="276" spans="1:13" outlineLevel="1">
      <c r="A276" s="3"/>
      <c r="B276" s="53" t="s">
        <v>301</v>
      </c>
      <c r="C276" s="56"/>
      <c r="D276" s="51">
        <v>2</v>
      </c>
      <c r="E276" s="69">
        <v>6.67</v>
      </c>
      <c r="F276" s="69"/>
      <c r="G276" s="69">
        <v>3.6850000000000001</v>
      </c>
      <c r="H276" s="70">
        <v>-1</v>
      </c>
      <c r="I276" s="69">
        <f t="shared" si="56"/>
        <v>-24.578949999999999</v>
      </c>
      <c r="J276" s="69">
        <f t="shared" si="57"/>
        <v>-49.157899999999998</v>
      </c>
      <c r="K276" s="2"/>
      <c r="M276" s="52"/>
    </row>
    <row r="277" spans="1:13" outlineLevel="1">
      <c r="A277" s="3"/>
      <c r="B277" s="53" t="s">
        <v>288</v>
      </c>
      <c r="C277" s="56"/>
      <c r="D277" s="51">
        <v>2</v>
      </c>
      <c r="E277" s="69">
        <f>(2650+150+6225+2650+350+2650+7075+8490+7050+2250+400+2250+5850+1050+300+150+2550+1850+150+5590)/1000</f>
        <v>59.68</v>
      </c>
      <c r="F277" s="69"/>
      <c r="G277" s="69">
        <v>3.75</v>
      </c>
      <c r="H277" s="69">
        <v>1</v>
      </c>
      <c r="I277" s="69">
        <f t="shared" ref="I277:I294" si="58">PRODUCT(E277:H277)</f>
        <v>223.8</v>
      </c>
      <c r="J277" s="69">
        <f t="shared" ref="J277:J294" si="59">I277*D277</f>
        <v>447.6</v>
      </c>
      <c r="K277" s="2"/>
      <c r="M277" s="52"/>
    </row>
    <row r="278" spans="1:13" outlineLevel="1">
      <c r="A278" s="3"/>
      <c r="B278" s="53" t="s">
        <v>298</v>
      </c>
      <c r="C278" s="56"/>
      <c r="D278" s="51">
        <v>2</v>
      </c>
      <c r="E278" s="69">
        <v>5.0599999999999996</v>
      </c>
      <c r="F278" s="69"/>
      <c r="G278" s="69">
        <v>3.6850000000000001</v>
      </c>
      <c r="H278" s="70">
        <v>-1</v>
      </c>
      <c r="I278" s="69">
        <f t="shared" si="58"/>
        <v>-18.646100000000001</v>
      </c>
      <c r="J278" s="69">
        <f t="shared" si="59"/>
        <v>-37.292200000000001</v>
      </c>
      <c r="K278" s="2"/>
      <c r="M278" s="52"/>
    </row>
    <row r="279" spans="1:13" outlineLevel="1">
      <c r="A279" s="3"/>
      <c r="B279" s="62" t="s">
        <v>302</v>
      </c>
      <c r="C279" s="54"/>
      <c r="D279" s="2">
        <v>2</v>
      </c>
      <c r="E279" s="70">
        <v>1.6850000000000001</v>
      </c>
      <c r="F279" s="66"/>
      <c r="G279" s="69">
        <v>3.6850000000000001</v>
      </c>
      <c r="H279" s="70">
        <v>-1</v>
      </c>
      <c r="I279" s="69">
        <f t="shared" si="58"/>
        <v>-6.209225</v>
      </c>
      <c r="J279" s="69">
        <f t="shared" si="59"/>
        <v>-12.41845</v>
      </c>
      <c r="K279" s="2"/>
      <c r="M279" s="52"/>
    </row>
    <row r="280" spans="1:13" outlineLevel="1">
      <c r="A280" s="2"/>
      <c r="B280" s="62" t="s">
        <v>304</v>
      </c>
      <c r="C280" s="55"/>
      <c r="D280" s="2">
        <v>2</v>
      </c>
      <c r="E280" s="70">
        <v>5.0199999999999996</v>
      </c>
      <c r="F280" s="70"/>
      <c r="G280" s="69">
        <v>3.6850000000000001</v>
      </c>
      <c r="H280" s="70">
        <v>-1</v>
      </c>
      <c r="I280" s="69">
        <f t="shared" si="58"/>
        <v>-18.498699999999999</v>
      </c>
      <c r="J280" s="69">
        <f t="shared" si="59"/>
        <v>-36.997399999999999</v>
      </c>
      <c r="K280" s="2"/>
      <c r="M280" s="52"/>
    </row>
    <row r="281" spans="1:13" outlineLevel="1">
      <c r="A281" s="3"/>
      <c r="B281" s="62" t="s">
        <v>303</v>
      </c>
      <c r="C281" s="56"/>
      <c r="D281" s="51">
        <v>2</v>
      </c>
      <c r="E281" s="69">
        <v>6.57</v>
      </c>
      <c r="F281" s="69"/>
      <c r="G281" s="69">
        <v>3.6850000000000001</v>
      </c>
      <c r="H281" s="70">
        <v>-1</v>
      </c>
      <c r="I281" s="69">
        <f t="shared" si="58"/>
        <v>-24.210450000000002</v>
      </c>
      <c r="J281" s="69">
        <f t="shared" si="59"/>
        <v>-48.420900000000003</v>
      </c>
      <c r="K281" s="2"/>
      <c r="M281" s="52"/>
    </row>
    <row r="282" spans="1:13" outlineLevel="1">
      <c r="A282" s="2"/>
      <c r="B282" s="62" t="s">
        <v>305</v>
      </c>
      <c r="C282" s="55"/>
      <c r="D282" s="2">
        <v>2</v>
      </c>
      <c r="E282" s="70">
        <f>(3850+465+2100+1785+400+2250+7000+2250+400+1875+2086+375+4900+2250+400+2240+2900+6510+2925+680+350+2656+1665+2800+350+2650+5975+200+200+8490+200+1630+12985+1780)/1000</f>
        <v>89.572000000000003</v>
      </c>
      <c r="F282" s="70"/>
      <c r="G282" s="70">
        <v>3.75</v>
      </c>
      <c r="H282" s="70">
        <v>1</v>
      </c>
      <c r="I282" s="69">
        <f t="shared" si="58"/>
        <v>335.89499999999998</v>
      </c>
      <c r="J282" s="69">
        <f t="shared" si="59"/>
        <v>671.79</v>
      </c>
      <c r="K282" s="2"/>
      <c r="M282" s="52"/>
    </row>
    <row r="283" spans="1:13" outlineLevel="1">
      <c r="A283" s="3"/>
      <c r="B283" s="53"/>
      <c r="C283" s="56"/>
      <c r="D283" s="51">
        <v>2</v>
      </c>
      <c r="E283" s="69">
        <f>+(2.8+0.35)*2</f>
        <v>6.3</v>
      </c>
      <c r="F283" s="69"/>
      <c r="G283" s="70">
        <v>3.75</v>
      </c>
      <c r="H283" s="70">
        <v>1</v>
      </c>
      <c r="I283" s="69">
        <f t="shared" si="58"/>
        <v>23.625</v>
      </c>
      <c r="J283" s="69">
        <f t="shared" si="59"/>
        <v>47.25</v>
      </c>
      <c r="K283" s="2"/>
      <c r="M283" s="52"/>
    </row>
    <row r="284" spans="1:13" outlineLevel="1">
      <c r="A284" s="3"/>
      <c r="B284" s="53" t="s">
        <v>13</v>
      </c>
      <c r="C284" s="56"/>
      <c r="D284" s="51">
        <v>2</v>
      </c>
      <c r="E284" s="69">
        <v>1.73</v>
      </c>
      <c r="F284" s="69"/>
      <c r="G284" s="69">
        <v>2.2000000000000002</v>
      </c>
      <c r="H284" s="69">
        <v>-1</v>
      </c>
      <c r="I284" s="69">
        <f t="shared" si="58"/>
        <v>-3.806</v>
      </c>
      <c r="J284" s="69">
        <f t="shared" si="59"/>
        <v>-7.6120000000000001</v>
      </c>
      <c r="K284" s="2"/>
      <c r="M284" s="52"/>
    </row>
    <row r="285" spans="1:13" outlineLevel="1">
      <c r="A285" s="3"/>
      <c r="B285" s="53"/>
      <c r="C285" s="56"/>
      <c r="D285" s="51">
        <v>2</v>
      </c>
      <c r="E285" s="69">
        <v>5.17</v>
      </c>
      <c r="F285" s="69"/>
      <c r="G285" s="69">
        <v>3.6850000000000001</v>
      </c>
      <c r="H285" s="69">
        <v>-1</v>
      </c>
      <c r="I285" s="69">
        <f t="shared" si="58"/>
        <v>-19.051449999999999</v>
      </c>
      <c r="J285" s="69">
        <f t="shared" si="59"/>
        <v>-38.102899999999998</v>
      </c>
      <c r="K285" s="2"/>
      <c r="M285" s="52"/>
    </row>
    <row r="286" spans="1:13" outlineLevel="1">
      <c r="A286" s="3"/>
      <c r="B286" s="53"/>
      <c r="C286" s="56"/>
      <c r="D286" s="51">
        <v>2</v>
      </c>
      <c r="E286" s="69">
        <v>4.2300000000000004</v>
      </c>
      <c r="F286" s="69"/>
      <c r="G286" s="69">
        <v>3.6850000000000001</v>
      </c>
      <c r="H286" s="69">
        <v>-1</v>
      </c>
      <c r="I286" s="69">
        <f t="shared" si="58"/>
        <v>-15.587550000000002</v>
      </c>
      <c r="J286" s="69">
        <f t="shared" si="59"/>
        <v>-31.175100000000004</v>
      </c>
      <c r="K286" s="2"/>
      <c r="M286" s="52"/>
    </row>
    <row r="287" spans="1:13" outlineLevel="1">
      <c r="A287" s="2"/>
      <c r="B287" s="62" t="s">
        <v>306</v>
      </c>
      <c r="C287" s="55"/>
      <c r="D287" s="2">
        <v>2</v>
      </c>
      <c r="E287" s="70">
        <f>(2900+1840+4670+3100+6510+200)/1000</f>
        <v>19.22</v>
      </c>
      <c r="F287" s="70"/>
      <c r="G287" s="70">
        <v>2.75</v>
      </c>
      <c r="H287" s="70">
        <v>1</v>
      </c>
      <c r="I287" s="69">
        <f t="shared" si="58"/>
        <v>52.854999999999997</v>
      </c>
      <c r="J287" s="69">
        <f t="shared" si="59"/>
        <v>105.71</v>
      </c>
      <c r="K287" s="2"/>
      <c r="M287" s="52"/>
    </row>
    <row r="288" spans="1:13" outlineLevel="1">
      <c r="A288" s="2"/>
      <c r="B288" s="62" t="s">
        <v>13</v>
      </c>
      <c r="C288" s="55"/>
      <c r="D288" s="2">
        <v>2</v>
      </c>
      <c r="E288" s="70">
        <v>1.53</v>
      </c>
      <c r="F288" s="70"/>
      <c r="G288" s="70">
        <v>2.2000000000000002</v>
      </c>
      <c r="H288" s="70">
        <v>-1</v>
      </c>
      <c r="I288" s="69">
        <f t="shared" si="58"/>
        <v>-3.3660000000000005</v>
      </c>
      <c r="J288" s="69">
        <f t="shared" si="59"/>
        <v>-6.7320000000000011</v>
      </c>
      <c r="K288" s="2"/>
      <c r="M288" s="52"/>
    </row>
    <row r="289" spans="1:13" outlineLevel="1">
      <c r="A289" s="2"/>
      <c r="B289" s="53" t="s">
        <v>101</v>
      </c>
      <c r="C289" s="56"/>
      <c r="D289" s="51">
        <v>2</v>
      </c>
      <c r="E289" s="69">
        <f>(15450+1630+9550+3175+1630)/1000</f>
        <v>31.434999999999999</v>
      </c>
      <c r="F289" s="69"/>
      <c r="G289" s="69">
        <v>3.75</v>
      </c>
      <c r="H289" s="69">
        <v>1</v>
      </c>
      <c r="I289" s="69">
        <f t="shared" si="58"/>
        <v>117.88124999999999</v>
      </c>
      <c r="J289" s="69">
        <f t="shared" si="59"/>
        <v>235.76249999999999</v>
      </c>
      <c r="K289" s="2"/>
      <c r="M289" s="52"/>
    </row>
    <row r="290" spans="1:13" outlineLevel="1">
      <c r="A290" s="2"/>
      <c r="B290" s="53" t="s">
        <v>183</v>
      </c>
      <c r="C290" s="56"/>
      <c r="D290" s="51">
        <v>2</v>
      </c>
      <c r="E290" s="69">
        <v>0.77</v>
      </c>
      <c r="F290" s="69"/>
      <c r="G290" s="69">
        <v>2.2000000000000002</v>
      </c>
      <c r="H290" s="69">
        <v>-2</v>
      </c>
      <c r="I290" s="69">
        <f t="shared" si="58"/>
        <v>-3.3880000000000003</v>
      </c>
      <c r="J290" s="69">
        <f t="shared" si="59"/>
        <v>-6.7760000000000007</v>
      </c>
      <c r="K290" s="2"/>
      <c r="M290" s="52"/>
    </row>
    <row r="291" spans="1:13" outlineLevel="1">
      <c r="A291" s="2"/>
      <c r="B291" s="62"/>
      <c r="C291" s="55"/>
      <c r="D291" s="2">
        <v>2</v>
      </c>
      <c r="E291" s="70">
        <v>0.93</v>
      </c>
      <c r="F291" s="70"/>
      <c r="G291" s="70">
        <v>2.2000000000000002</v>
      </c>
      <c r="H291" s="70">
        <v>-1</v>
      </c>
      <c r="I291" s="69">
        <f t="shared" si="58"/>
        <v>-2.0460000000000003</v>
      </c>
      <c r="J291" s="69">
        <f t="shared" si="59"/>
        <v>-4.0920000000000005</v>
      </c>
      <c r="K291" s="2"/>
      <c r="M291" s="52"/>
    </row>
    <row r="292" spans="1:13" outlineLevel="1">
      <c r="A292" s="2"/>
      <c r="B292" s="53"/>
      <c r="C292" s="56"/>
      <c r="D292" s="51">
        <v>2</v>
      </c>
      <c r="E292" s="69">
        <v>1</v>
      </c>
      <c r="F292" s="69"/>
      <c r="G292" s="69">
        <v>2.2000000000000002</v>
      </c>
      <c r="H292" s="69">
        <v>-1</v>
      </c>
      <c r="I292" s="69">
        <f t="shared" si="58"/>
        <v>-2.2000000000000002</v>
      </c>
      <c r="J292" s="69">
        <f t="shared" si="59"/>
        <v>-4.4000000000000004</v>
      </c>
      <c r="K292" s="2"/>
      <c r="M292" s="52"/>
    </row>
    <row r="293" spans="1:13" outlineLevel="1">
      <c r="A293" s="2"/>
      <c r="B293" s="62"/>
      <c r="C293" s="55"/>
      <c r="D293" s="2">
        <v>2</v>
      </c>
      <c r="E293" s="70">
        <v>1.33</v>
      </c>
      <c r="F293" s="70"/>
      <c r="G293" s="70">
        <v>2.2000000000000002</v>
      </c>
      <c r="H293" s="70">
        <v>-1</v>
      </c>
      <c r="I293" s="69">
        <f t="shared" si="58"/>
        <v>-2.9260000000000006</v>
      </c>
      <c r="J293" s="69">
        <f t="shared" si="59"/>
        <v>-5.8520000000000012</v>
      </c>
      <c r="K293" s="2"/>
      <c r="M293" s="52"/>
    </row>
    <row r="294" spans="1:13" outlineLevel="1">
      <c r="A294" s="3"/>
      <c r="B294" s="53"/>
      <c r="C294" s="56"/>
      <c r="D294" s="51">
        <v>2</v>
      </c>
      <c r="E294" s="69">
        <v>0.8</v>
      </c>
      <c r="F294" s="69"/>
      <c r="G294" s="69">
        <v>2.2000000000000002</v>
      </c>
      <c r="H294" s="69">
        <v>-2</v>
      </c>
      <c r="I294" s="69">
        <f t="shared" si="58"/>
        <v>-3.5200000000000005</v>
      </c>
      <c r="J294" s="69">
        <f t="shared" si="59"/>
        <v>-7.0400000000000009</v>
      </c>
      <c r="K294" s="2"/>
      <c r="M294" s="52"/>
    </row>
    <row r="295" spans="1:13" outlineLevel="1">
      <c r="A295" s="3"/>
      <c r="B295" s="53"/>
      <c r="C295" s="56"/>
      <c r="D295" s="51">
        <v>2</v>
      </c>
      <c r="E295" s="69">
        <f>(6535+2435+3200+2600)/1000</f>
        <v>14.77</v>
      </c>
      <c r="F295" s="69"/>
      <c r="G295" s="69">
        <v>3.75</v>
      </c>
      <c r="H295" s="69">
        <v>1</v>
      </c>
      <c r="I295" s="69">
        <f t="shared" ref="I295:I297" si="60">PRODUCT(E295:H295)</f>
        <v>55.387499999999996</v>
      </c>
      <c r="J295" s="69">
        <f t="shared" ref="J295:J297" si="61">I295*D295</f>
        <v>110.77499999999999</v>
      </c>
      <c r="K295" s="2"/>
      <c r="M295" s="52"/>
    </row>
    <row r="296" spans="1:13" outlineLevel="1">
      <c r="A296" s="2"/>
      <c r="B296" s="53"/>
      <c r="C296" s="56"/>
      <c r="D296" s="51">
        <v>2</v>
      </c>
      <c r="E296" s="69">
        <f>(1583+6606+1800+1800+300+1650+7065+9050+2230+200+2160+660+660+2160+960+2910)/1000</f>
        <v>41.793999999999997</v>
      </c>
      <c r="F296" s="69"/>
      <c r="G296" s="69">
        <v>3.75</v>
      </c>
      <c r="H296" s="69">
        <v>1</v>
      </c>
      <c r="I296" s="69">
        <f t="shared" si="60"/>
        <v>156.72749999999999</v>
      </c>
      <c r="J296" s="69">
        <f t="shared" si="61"/>
        <v>313.45499999999998</v>
      </c>
      <c r="K296" s="2"/>
      <c r="M296" s="52"/>
    </row>
    <row r="297" spans="1:13" outlineLevel="1">
      <c r="A297" s="3"/>
      <c r="B297" s="53"/>
      <c r="C297" s="56"/>
      <c r="D297" s="51">
        <v>1</v>
      </c>
      <c r="E297" s="69">
        <v>20</v>
      </c>
      <c r="F297" s="69"/>
      <c r="G297" s="69">
        <v>2.75</v>
      </c>
      <c r="H297" s="69">
        <v>1</v>
      </c>
      <c r="I297" s="69">
        <f t="shared" si="60"/>
        <v>55</v>
      </c>
      <c r="J297" s="69">
        <f t="shared" si="61"/>
        <v>55</v>
      </c>
      <c r="K297" s="2"/>
      <c r="M297" s="52"/>
    </row>
  </sheetData>
  <autoFilter ref="A5:K297" xr:uid="{00000000-0009-0000-0000-000002000000}"/>
  <mergeCells count="10">
    <mergeCell ref="A2:K2"/>
    <mergeCell ref="A6:A7"/>
    <mergeCell ref="B6:B7"/>
    <mergeCell ref="C6:C7"/>
    <mergeCell ref="D6:D7"/>
    <mergeCell ref="E6:G6"/>
    <mergeCell ref="H6:H7"/>
    <mergeCell ref="I6:I7"/>
    <mergeCell ref="J6:J7"/>
    <mergeCell ref="K6:K7"/>
  </mergeCells>
  <conditionalFormatting sqref="A6:K6 A7:I7 K7">
    <cfRule type="cellIs" dxfId="5" priority="1" operator="lessThan">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E8113-19A5-40C5-85F0-1C3A3051E998}">
  <sheetPr>
    <tabColor theme="0" tint="-0.14999847407452621"/>
  </sheetPr>
  <dimension ref="A2:O75"/>
  <sheetViews>
    <sheetView zoomScaleNormal="100" workbookViewId="0">
      <pane xSplit="3" ySplit="7" topLeftCell="D41" activePane="bottomRight" state="frozen"/>
      <selection activeCell="I17" sqref="I17"/>
      <selection pane="topRight" activeCell="I17" sqref="I17"/>
      <selection pane="bottomLeft" activeCell="I17" sqref="I17"/>
      <selection pane="bottomRight" activeCell="I17" sqref="I17"/>
    </sheetView>
  </sheetViews>
  <sheetFormatPr defaultRowHeight="15" outlineLevelRow="1"/>
  <cols>
    <col min="1" max="1" width="6.28515625" style="1" customWidth="1"/>
    <col min="2" max="2" width="58" style="1" customWidth="1"/>
    <col min="3" max="3" width="9.140625" style="57"/>
    <col min="4" max="4" width="9.140625" style="1" customWidth="1"/>
    <col min="5" max="5" width="10.42578125" style="71" customWidth="1"/>
    <col min="6" max="8" width="9.140625" style="71" customWidth="1"/>
    <col min="9" max="9" width="13" style="71" customWidth="1"/>
    <col min="10" max="10" width="11.140625" style="71" customWidth="1"/>
    <col min="11" max="11" width="15" style="1" customWidth="1"/>
    <col min="12" max="12" width="9.140625" style="1"/>
    <col min="13" max="13" width="13.7109375" style="1" customWidth="1"/>
    <col min="14" max="14" width="44.5703125" style="1" customWidth="1"/>
    <col min="15" max="16384" width="9.140625" style="1"/>
  </cols>
  <sheetData>
    <row r="2" spans="1:15">
      <c r="A2" s="178" t="s">
        <v>205</v>
      </c>
      <c r="B2" s="178"/>
      <c r="C2" s="178"/>
      <c r="D2" s="178"/>
      <c r="E2" s="178"/>
      <c r="F2" s="178"/>
      <c r="G2" s="178"/>
      <c r="H2" s="178"/>
      <c r="I2" s="178"/>
      <c r="J2" s="178"/>
      <c r="K2" s="178"/>
    </row>
    <row r="6" spans="1:15" ht="15.75" customHeight="1">
      <c r="A6" s="179" t="s">
        <v>0</v>
      </c>
      <c r="B6" s="179" t="s">
        <v>1</v>
      </c>
      <c r="C6" s="179" t="s">
        <v>2</v>
      </c>
      <c r="D6" s="179" t="s">
        <v>3</v>
      </c>
      <c r="E6" s="181" t="s">
        <v>4</v>
      </c>
      <c r="F6" s="181"/>
      <c r="G6" s="181"/>
      <c r="H6" s="182" t="s">
        <v>5</v>
      </c>
      <c r="I6" s="181" t="s">
        <v>93</v>
      </c>
      <c r="J6" s="185" t="s">
        <v>6</v>
      </c>
      <c r="K6" s="179" t="s">
        <v>7</v>
      </c>
    </row>
    <row r="7" spans="1:15" ht="36.75" customHeight="1">
      <c r="A7" s="180"/>
      <c r="B7" s="180"/>
      <c r="C7" s="180"/>
      <c r="D7" s="180"/>
      <c r="E7" s="72" t="s">
        <v>8</v>
      </c>
      <c r="F7" s="72" t="s">
        <v>9</v>
      </c>
      <c r="G7" s="72" t="s">
        <v>10</v>
      </c>
      <c r="H7" s="183"/>
      <c r="I7" s="184"/>
      <c r="J7" s="186"/>
      <c r="K7" s="180"/>
    </row>
    <row r="8" spans="1:15" ht="29.25">
      <c r="A8" s="3" t="s">
        <v>19</v>
      </c>
      <c r="B8" s="32" t="s">
        <v>107</v>
      </c>
      <c r="C8" s="54" t="s">
        <v>12</v>
      </c>
      <c r="D8" s="3"/>
      <c r="E8" s="66"/>
      <c r="F8" s="66"/>
      <c r="G8" s="66"/>
      <c r="H8" s="66"/>
      <c r="I8" s="67"/>
      <c r="J8" s="67"/>
      <c r="K8" s="2"/>
      <c r="M8" s="52"/>
      <c r="N8" s="1" t="s">
        <v>178</v>
      </c>
      <c r="O8" s="1">
        <f>2.65+0.05-0.035-0.08+0.03</f>
        <v>2.6149999999999993</v>
      </c>
    </row>
    <row r="9" spans="1:15">
      <c r="A9" s="58">
        <v>1</v>
      </c>
      <c r="B9" s="59" t="s">
        <v>146</v>
      </c>
      <c r="C9" s="60"/>
      <c r="D9" s="58">
        <v>1</v>
      </c>
      <c r="E9" s="68"/>
      <c r="F9" s="68"/>
      <c r="G9" s="68"/>
      <c r="H9" s="68"/>
      <c r="I9" s="68">
        <f>+I10</f>
        <v>1224.6874399999999</v>
      </c>
      <c r="J9" s="68">
        <f t="shared" ref="J9:J33" si="0">+D9*I9</f>
        <v>1224.6874399999999</v>
      </c>
      <c r="K9" s="61"/>
      <c r="M9" s="52"/>
    </row>
    <row r="10" spans="1:15">
      <c r="A10" s="58">
        <v>2</v>
      </c>
      <c r="B10" s="59" t="s">
        <v>172</v>
      </c>
      <c r="C10" s="60"/>
      <c r="D10" s="58">
        <v>5</v>
      </c>
      <c r="E10" s="68"/>
      <c r="F10" s="68"/>
      <c r="G10" s="68"/>
      <c r="H10" s="68"/>
      <c r="I10" s="68">
        <f>+J11+J22+J34+J40+J46+J52+J58</f>
        <v>1224.6874399999999</v>
      </c>
      <c r="J10" s="68">
        <f t="shared" si="0"/>
        <v>6123.4371999999994</v>
      </c>
      <c r="K10" s="61"/>
      <c r="M10" s="52"/>
    </row>
    <row r="11" spans="1:15" ht="29.25" outlineLevel="1">
      <c r="A11" s="3"/>
      <c r="B11" s="32" t="s">
        <v>190</v>
      </c>
      <c r="C11" s="54"/>
      <c r="D11" s="3">
        <v>8</v>
      </c>
      <c r="E11" s="66"/>
      <c r="F11" s="66"/>
      <c r="G11" s="66"/>
      <c r="H11" s="66"/>
      <c r="I11" s="67">
        <f>+SUM(J12:J21)</f>
        <v>26.149240000000002</v>
      </c>
      <c r="J11" s="67">
        <f t="shared" si="0"/>
        <v>209.19392000000002</v>
      </c>
      <c r="K11" s="2"/>
      <c r="M11" s="52"/>
      <c r="N11" s="52"/>
    </row>
    <row r="12" spans="1:15" outlineLevel="1">
      <c r="A12" s="3"/>
      <c r="B12" s="53" t="s">
        <v>311</v>
      </c>
      <c r="C12" s="56"/>
      <c r="D12" s="51">
        <v>1</v>
      </c>
      <c r="E12" s="141">
        <v>2.14</v>
      </c>
      <c r="F12" s="69"/>
      <c r="G12" s="69">
        <f>3.3-0.31</f>
        <v>2.9899999999999998</v>
      </c>
      <c r="H12" s="69">
        <v>2</v>
      </c>
      <c r="I12" s="69">
        <f t="shared" ref="I12" si="1">PRODUCT(E12:H12)</f>
        <v>12.7972</v>
      </c>
      <c r="J12" s="69">
        <f t="shared" si="0"/>
        <v>12.7972</v>
      </c>
      <c r="K12" s="2" t="s">
        <v>197</v>
      </c>
    </row>
    <row r="13" spans="1:15" outlineLevel="1">
      <c r="A13" s="3"/>
      <c r="B13" s="53"/>
      <c r="C13" s="56"/>
      <c r="D13" s="51">
        <v>1</v>
      </c>
      <c r="E13" s="69"/>
      <c r="F13" s="141">
        <v>1.2</v>
      </c>
      <c r="G13" s="69">
        <f>+G12</f>
        <v>2.9899999999999998</v>
      </c>
      <c r="H13" s="69">
        <f>+H12</f>
        <v>2</v>
      </c>
      <c r="I13" s="69">
        <f t="shared" ref="I13:I14" si="2">PRODUCT(E13:H13)</f>
        <v>7.1759999999999993</v>
      </c>
      <c r="J13" s="69">
        <f t="shared" si="0"/>
        <v>7.1759999999999993</v>
      </c>
      <c r="K13" s="2"/>
    </row>
    <row r="14" spans="1:15" outlineLevel="1">
      <c r="A14" s="3"/>
      <c r="B14" s="53" t="s">
        <v>13</v>
      </c>
      <c r="C14" s="56"/>
      <c r="D14" s="51">
        <v>1</v>
      </c>
      <c r="E14" s="69">
        <v>0.87</v>
      </c>
      <c r="F14" s="69"/>
      <c r="G14" s="69">
        <v>2.2000000000000002</v>
      </c>
      <c r="H14" s="69">
        <v>-1</v>
      </c>
      <c r="I14" s="69">
        <f t="shared" si="2"/>
        <v>-1.9140000000000001</v>
      </c>
      <c r="J14" s="69">
        <f t="shared" si="0"/>
        <v>-1.9140000000000001</v>
      </c>
      <c r="K14" s="2"/>
    </row>
    <row r="15" spans="1:15" outlineLevel="1">
      <c r="A15" s="3"/>
      <c r="B15" s="53" t="s">
        <v>312</v>
      </c>
      <c r="C15" s="56"/>
      <c r="D15" s="51">
        <v>1</v>
      </c>
      <c r="E15" s="69">
        <f>+E12</f>
        <v>2.14</v>
      </c>
      <c r="F15" s="69"/>
      <c r="G15" s="69">
        <f>3.3-0.6-0.1</f>
        <v>2.5999999999999996</v>
      </c>
      <c r="H15" s="69">
        <v>-1</v>
      </c>
      <c r="I15" s="69">
        <f t="shared" ref="I15" si="3">PRODUCT(E15:H15)</f>
        <v>-5.5639999999999992</v>
      </c>
      <c r="J15" s="69">
        <f t="shared" si="0"/>
        <v>-5.5639999999999992</v>
      </c>
      <c r="K15" s="2"/>
    </row>
    <row r="16" spans="1:15" outlineLevel="1">
      <c r="A16" s="3"/>
      <c r="B16" s="53" t="s">
        <v>313</v>
      </c>
      <c r="C16" s="56"/>
      <c r="D16" s="51">
        <v>1</v>
      </c>
      <c r="E16" s="69">
        <f>+E12</f>
        <v>2.14</v>
      </c>
      <c r="F16" s="69">
        <f>0.3+0.1</f>
        <v>0.4</v>
      </c>
      <c r="G16" s="69"/>
      <c r="H16" s="69">
        <v>1</v>
      </c>
      <c r="I16" s="69">
        <f t="shared" ref="I16:I20" si="4">PRODUCT(E16:H16)</f>
        <v>0.85600000000000009</v>
      </c>
      <c r="J16" s="69">
        <f t="shared" si="0"/>
        <v>0.85600000000000009</v>
      </c>
      <c r="K16" s="2"/>
    </row>
    <row r="17" spans="1:13" outlineLevel="1">
      <c r="A17" s="3"/>
      <c r="B17" s="53" t="s">
        <v>314</v>
      </c>
      <c r="C17" s="56"/>
      <c r="D17" s="51">
        <v>1</v>
      </c>
      <c r="E17" s="141">
        <v>2.95</v>
      </c>
      <c r="F17" s="69"/>
      <c r="G17" s="69">
        <f>3.3-0.31</f>
        <v>2.9899999999999998</v>
      </c>
      <c r="H17" s="69">
        <v>2</v>
      </c>
      <c r="I17" s="69">
        <f t="shared" si="4"/>
        <v>17.640999999999998</v>
      </c>
      <c r="J17" s="69">
        <f t="shared" si="0"/>
        <v>17.640999999999998</v>
      </c>
      <c r="K17" s="2" t="s">
        <v>197</v>
      </c>
    </row>
    <row r="18" spans="1:13" outlineLevel="1">
      <c r="A18" s="3"/>
      <c r="B18" s="53"/>
      <c r="C18" s="56"/>
      <c r="D18" s="51">
        <v>1</v>
      </c>
      <c r="E18" s="69"/>
      <c r="F18" s="141">
        <v>1.048</v>
      </c>
      <c r="G18" s="69">
        <f>+G17</f>
        <v>2.9899999999999998</v>
      </c>
      <c r="H18" s="69">
        <f>+H17</f>
        <v>2</v>
      </c>
      <c r="I18" s="69">
        <f t="shared" si="4"/>
        <v>6.2670399999999997</v>
      </c>
      <c r="J18" s="69">
        <f t="shared" si="0"/>
        <v>6.2670399999999997</v>
      </c>
      <c r="K18" s="2"/>
    </row>
    <row r="19" spans="1:13" outlineLevel="1">
      <c r="A19" s="3"/>
      <c r="B19" s="53" t="s">
        <v>13</v>
      </c>
      <c r="C19" s="56"/>
      <c r="D19" s="51">
        <v>1</v>
      </c>
      <c r="E19" s="69">
        <v>2.1</v>
      </c>
      <c r="F19" s="69"/>
      <c r="G19" s="69">
        <v>2.2000000000000002</v>
      </c>
      <c r="H19" s="69">
        <v>-1</v>
      </c>
      <c r="I19" s="69">
        <f t="shared" si="4"/>
        <v>-4.620000000000001</v>
      </c>
      <c r="J19" s="69">
        <f t="shared" si="0"/>
        <v>-4.620000000000001</v>
      </c>
      <c r="K19" s="2"/>
    </row>
    <row r="20" spans="1:13" outlineLevel="1">
      <c r="A20" s="3"/>
      <c r="B20" s="53" t="s">
        <v>312</v>
      </c>
      <c r="C20" s="56"/>
      <c r="D20" s="51">
        <v>1</v>
      </c>
      <c r="E20" s="69">
        <f>+E17</f>
        <v>2.95</v>
      </c>
      <c r="F20" s="69"/>
      <c r="G20" s="69">
        <f>3.3-0.6-0.1</f>
        <v>2.5999999999999996</v>
      </c>
      <c r="H20" s="69">
        <v>-1</v>
      </c>
      <c r="I20" s="69">
        <f t="shared" si="4"/>
        <v>-7.669999999999999</v>
      </c>
      <c r="J20" s="69">
        <f t="shared" si="0"/>
        <v>-7.669999999999999</v>
      </c>
      <c r="K20" s="2"/>
      <c r="M20" s="52"/>
    </row>
    <row r="21" spans="1:13" outlineLevel="1">
      <c r="A21" s="3"/>
      <c r="B21" s="53" t="s">
        <v>313</v>
      </c>
      <c r="C21" s="56"/>
      <c r="D21" s="51">
        <v>1</v>
      </c>
      <c r="E21" s="69">
        <f>+E17</f>
        <v>2.95</v>
      </c>
      <c r="F21" s="69">
        <f>0.3+0.1</f>
        <v>0.4</v>
      </c>
      <c r="G21" s="69"/>
      <c r="H21" s="69">
        <v>1</v>
      </c>
      <c r="I21" s="69">
        <f t="shared" ref="I21" si="5">PRODUCT(E21:H21)</f>
        <v>1.1800000000000002</v>
      </c>
      <c r="J21" s="69">
        <f t="shared" si="0"/>
        <v>1.1800000000000002</v>
      </c>
      <c r="K21" s="2"/>
      <c r="M21" s="52"/>
    </row>
    <row r="22" spans="1:13" ht="43.5" outlineLevel="1">
      <c r="A22" s="3"/>
      <c r="B22" s="32" t="s">
        <v>192</v>
      </c>
      <c r="C22" s="54" t="s">
        <v>12</v>
      </c>
      <c r="D22" s="3">
        <v>18</v>
      </c>
      <c r="E22" s="66"/>
      <c r="F22" s="66"/>
      <c r="G22" s="66"/>
      <c r="H22" s="66"/>
      <c r="I22" s="67">
        <f>+SUM(J23:J33)</f>
        <v>42.927840000000003</v>
      </c>
      <c r="J22" s="67">
        <f t="shared" si="0"/>
        <v>772.70112000000006</v>
      </c>
      <c r="K22" s="2"/>
      <c r="M22" s="52"/>
    </row>
    <row r="23" spans="1:13" outlineLevel="1">
      <c r="A23" s="3"/>
      <c r="B23" s="53" t="s">
        <v>311</v>
      </c>
      <c r="C23" s="56"/>
      <c r="D23" s="51">
        <v>1</v>
      </c>
      <c r="E23" s="141">
        <v>1.05</v>
      </c>
      <c r="F23" s="69"/>
      <c r="G23" s="69">
        <f>3.3-0.26</f>
        <v>3.04</v>
      </c>
      <c r="H23" s="69">
        <v>2</v>
      </c>
      <c r="I23" s="69">
        <f t="shared" ref="I23:I33" si="6">PRODUCT(E23:H23)</f>
        <v>6.3840000000000003</v>
      </c>
      <c r="J23" s="69">
        <f t="shared" si="0"/>
        <v>6.3840000000000003</v>
      </c>
      <c r="K23" s="2" t="s">
        <v>198</v>
      </c>
      <c r="M23" s="52"/>
    </row>
    <row r="24" spans="1:13" outlineLevel="1">
      <c r="A24" s="3"/>
      <c r="B24" s="53"/>
      <c r="C24" s="56"/>
      <c r="D24" s="51">
        <v>1</v>
      </c>
      <c r="E24" s="69"/>
      <c r="F24" s="141">
        <v>4.8499999999999996</v>
      </c>
      <c r="G24" s="69">
        <f>+G23</f>
        <v>3.04</v>
      </c>
      <c r="H24" s="69">
        <f>+H23</f>
        <v>2</v>
      </c>
      <c r="I24" s="69">
        <f t="shared" si="6"/>
        <v>29.488</v>
      </c>
      <c r="J24" s="69">
        <f t="shared" si="0"/>
        <v>29.488</v>
      </c>
      <c r="K24" s="2"/>
      <c r="M24" s="52"/>
    </row>
    <row r="25" spans="1:13" outlineLevel="1">
      <c r="A25" s="3"/>
      <c r="B25" s="53" t="s">
        <v>13</v>
      </c>
      <c r="C25" s="56"/>
      <c r="D25" s="51">
        <v>1</v>
      </c>
      <c r="E25" s="69">
        <v>0.87</v>
      </c>
      <c r="F25" s="69"/>
      <c r="G25" s="69">
        <v>2.2000000000000002</v>
      </c>
      <c r="H25" s="69">
        <v>-1</v>
      </c>
      <c r="I25" s="69">
        <f t="shared" si="6"/>
        <v>-1.9140000000000001</v>
      </c>
      <c r="J25" s="69">
        <f t="shared" si="0"/>
        <v>-1.9140000000000001</v>
      </c>
      <c r="K25" s="2"/>
      <c r="M25" s="52"/>
    </row>
    <row r="26" spans="1:13" outlineLevel="1">
      <c r="A26" s="3"/>
      <c r="B26" s="53" t="s">
        <v>187</v>
      </c>
      <c r="C26" s="56"/>
      <c r="D26" s="51">
        <v>1</v>
      </c>
      <c r="E26" s="69">
        <v>0.9</v>
      </c>
      <c r="F26" s="69"/>
      <c r="G26" s="69">
        <v>1.7</v>
      </c>
      <c r="H26" s="69">
        <v>-1</v>
      </c>
      <c r="I26" s="69">
        <f t="shared" si="6"/>
        <v>-1.53</v>
      </c>
      <c r="J26" s="69">
        <f t="shared" si="0"/>
        <v>-1.53</v>
      </c>
      <c r="K26" s="2"/>
      <c r="M26" s="52"/>
    </row>
    <row r="27" spans="1:13" outlineLevel="1">
      <c r="A27" s="3"/>
      <c r="B27" s="53" t="s">
        <v>312</v>
      </c>
      <c r="C27" s="56"/>
      <c r="D27" s="51">
        <v>1</v>
      </c>
      <c r="E27" s="69">
        <f>+E23</f>
        <v>1.05</v>
      </c>
      <c r="F27" s="69"/>
      <c r="G27" s="69">
        <f>3.3-0.6-0.1</f>
        <v>2.5999999999999996</v>
      </c>
      <c r="H27" s="69">
        <v>-1</v>
      </c>
      <c r="I27" s="69">
        <f t="shared" si="6"/>
        <v>-2.7299999999999995</v>
      </c>
      <c r="J27" s="69">
        <f t="shared" si="0"/>
        <v>-2.7299999999999995</v>
      </c>
      <c r="K27" s="2"/>
      <c r="M27" s="52"/>
    </row>
    <row r="28" spans="1:13" outlineLevel="1">
      <c r="A28" s="3"/>
      <c r="B28" s="53" t="s">
        <v>313</v>
      </c>
      <c r="C28" s="56"/>
      <c r="D28" s="51">
        <v>1</v>
      </c>
      <c r="E28" s="69">
        <f>+E23</f>
        <v>1.05</v>
      </c>
      <c r="F28" s="69">
        <f>0.3+0.1</f>
        <v>0.4</v>
      </c>
      <c r="G28" s="69"/>
      <c r="H28" s="69">
        <v>1</v>
      </c>
      <c r="I28" s="69">
        <f t="shared" si="6"/>
        <v>0.42000000000000004</v>
      </c>
      <c r="J28" s="69">
        <f t="shared" si="0"/>
        <v>0.42000000000000004</v>
      </c>
      <c r="K28" s="2"/>
      <c r="M28" s="52"/>
    </row>
    <row r="29" spans="1:13" outlineLevel="1">
      <c r="A29" s="3"/>
      <c r="B29" s="53" t="s">
        <v>314</v>
      </c>
      <c r="C29" s="56"/>
      <c r="D29" s="51">
        <v>1</v>
      </c>
      <c r="E29" s="141">
        <v>2.85</v>
      </c>
      <c r="F29" s="69"/>
      <c r="G29" s="69">
        <f>3.3-0.26</f>
        <v>3.04</v>
      </c>
      <c r="H29" s="69">
        <v>2</v>
      </c>
      <c r="I29" s="69">
        <f t="shared" si="6"/>
        <v>17.327999999999999</v>
      </c>
      <c r="J29" s="69">
        <f t="shared" si="0"/>
        <v>17.327999999999999</v>
      </c>
      <c r="K29" s="2"/>
      <c r="M29" s="52"/>
    </row>
    <row r="30" spans="1:13" outlineLevel="1">
      <c r="A30" s="3"/>
      <c r="B30" s="53"/>
      <c r="C30" s="56"/>
      <c r="D30" s="51">
        <v>1</v>
      </c>
      <c r="E30" s="69"/>
      <c r="F30" s="141">
        <v>1.048</v>
      </c>
      <c r="G30" s="69">
        <f>+G29</f>
        <v>3.04</v>
      </c>
      <c r="H30" s="69">
        <f>+H29</f>
        <v>2</v>
      </c>
      <c r="I30" s="69">
        <f t="shared" si="6"/>
        <v>6.3718400000000006</v>
      </c>
      <c r="J30" s="69">
        <f t="shared" si="0"/>
        <v>6.3718400000000006</v>
      </c>
      <c r="K30" s="2"/>
      <c r="M30" s="52"/>
    </row>
    <row r="31" spans="1:13" outlineLevel="1">
      <c r="A31" s="3"/>
      <c r="B31" s="53" t="s">
        <v>13</v>
      </c>
      <c r="C31" s="56"/>
      <c r="D31" s="51">
        <v>1</v>
      </c>
      <c r="E31" s="69">
        <v>2.1</v>
      </c>
      <c r="F31" s="69"/>
      <c r="G31" s="69">
        <v>2.2000000000000002</v>
      </c>
      <c r="H31" s="69">
        <v>-1</v>
      </c>
      <c r="I31" s="69">
        <f t="shared" si="6"/>
        <v>-4.620000000000001</v>
      </c>
      <c r="J31" s="69">
        <f t="shared" si="0"/>
        <v>-4.620000000000001</v>
      </c>
      <c r="K31" s="2"/>
      <c r="M31" s="52"/>
    </row>
    <row r="32" spans="1:13" outlineLevel="1">
      <c r="A32" s="3"/>
      <c r="B32" s="53" t="s">
        <v>312</v>
      </c>
      <c r="C32" s="56"/>
      <c r="D32" s="51">
        <v>1</v>
      </c>
      <c r="E32" s="69">
        <f>+E29</f>
        <v>2.85</v>
      </c>
      <c r="F32" s="69"/>
      <c r="G32" s="69">
        <f>3.3-0.6-0.1</f>
        <v>2.5999999999999996</v>
      </c>
      <c r="H32" s="69">
        <v>-1</v>
      </c>
      <c r="I32" s="69">
        <f t="shared" si="6"/>
        <v>-7.4099999999999993</v>
      </c>
      <c r="J32" s="69">
        <f t="shared" si="0"/>
        <v>-7.4099999999999993</v>
      </c>
      <c r="K32" s="2"/>
      <c r="M32" s="52"/>
    </row>
    <row r="33" spans="1:13" outlineLevel="1">
      <c r="A33" s="3"/>
      <c r="B33" s="53" t="s">
        <v>313</v>
      </c>
      <c r="C33" s="56"/>
      <c r="D33" s="51">
        <v>1</v>
      </c>
      <c r="E33" s="69">
        <f>+E29</f>
        <v>2.85</v>
      </c>
      <c r="F33" s="69">
        <f>0.3+0.1</f>
        <v>0.4</v>
      </c>
      <c r="G33" s="69"/>
      <c r="H33" s="69">
        <v>1</v>
      </c>
      <c r="I33" s="69">
        <f t="shared" si="6"/>
        <v>1.1400000000000001</v>
      </c>
      <c r="J33" s="69">
        <f t="shared" si="0"/>
        <v>1.1400000000000001</v>
      </c>
      <c r="K33" s="2"/>
      <c r="M33" s="52"/>
    </row>
    <row r="34" spans="1:13" outlineLevel="1">
      <c r="A34" s="3"/>
      <c r="B34" s="32" t="s">
        <v>191</v>
      </c>
      <c r="C34" s="54" t="s">
        <v>12</v>
      </c>
      <c r="D34" s="3">
        <v>2</v>
      </c>
      <c r="E34" s="66"/>
      <c r="F34" s="66"/>
      <c r="G34" s="66"/>
      <c r="H34" s="66"/>
      <c r="I34" s="67">
        <f>+SUM(J35:J39)</f>
        <v>19.6434</v>
      </c>
      <c r="J34" s="67">
        <f t="shared" ref="J34:J41" si="7">I34*D34</f>
        <v>39.286799999999999</v>
      </c>
      <c r="K34" s="2" t="s">
        <v>200</v>
      </c>
      <c r="M34" s="52"/>
    </row>
    <row r="35" spans="1:13" outlineLevel="1">
      <c r="A35" s="3"/>
      <c r="B35" s="53" t="s">
        <v>311</v>
      </c>
      <c r="C35" s="56"/>
      <c r="D35" s="51">
        <v>1</v>
      </c>
      <c r="E35" s="69">
        <v>1.05</v>
      </c>
      <c r="F35" s="69"/>
      <c r="G35" s="69">
        <f>3.3-0.31</f>
        <v>2.9899999999999998</v>
      </c>
      <c r="H35" s="69">
        <v>2</v>
      </c>
      <c r="I35" s="69">
        <f t="shared" ref="I35" si="8">PRODUCT(E35:H35)</f>
        <v>6.2789999999999999</v>
      </c>
      <c r="J35" s="69">
        <f>+D35*I35</f>
        <v>6.2789999999999999</v>
      </c>
      <c r="K35" s="2"/>
      <c r="M35" s="52"/>
    </row>
    <row r="36" spans="1:13" outlineLevel="1">
      <c r="A36" s="142"/>
      <c r="B36" s="53"/>
      <c r="C36" s="56"/>
      <c r="D36" s="51">
        <v>1</v>
      </c>
      <c r="E36" s="69">
        <v>5.98</v>
      </c>
      <c r="F36" s="69"/>
      <c r="G36" s="69">
        <f>3.3-0.31</f>
        <v>2.9899999999999998</v>
      </c>
      <c r="H36" s="69">
        <v>2</v>
      </c>
      <c r="I36" s="69">
        <f t="shared" ref="I36" si="9">PRODUCT(E36:H36)</f>
        <v>35.760399999999997</v>
      </c>
      <c r="J36" s="69">
        <f>+D36*I36</f>
        <v>35.760399999999997</v>
      </c>
      <c r="K36" s="51"/>
      <c r="M36" s="52"/>
    </row>
    <row r="37" spans="1:13" outlineLevel="1">
      <c r="A37" s="142"/>
      <c r="B37" s="53" t="s">
        <v>13</v>
      </c>
      <c r="C37" s="56"/>
      <c r="D37" s="51">
        <v>1</v>
      </c>
      <c r="E37" s="69">
        <v>2.1</v>
      </c>
      <c r="F37" s="69"/>
      <c r="G37" s="69">
        <v>2.2000000000000002</v>
      </c>
      <c r="H37" s="69">
        <v>-2</v>
      </c>
      <c r="I37" s="69">
        <f t="shared" ref="I37" si="10">PRODUCT(E37:H37)</f>
        <v>-9.240000000000002</v>
      </c>
      <c r="J37" s="69">
        <f>+D37*I37</f>
        <v>-9.240000000000002</v>
      </c>
      <c r="K37" s="51"/>
      <c r="M37" s="52"/>
    </row>
    <row r="38" spans="1:13" outlineLevel="1">
      <c r="A38" s="142"/>
      <c r="B38" s="53" t="s">
        <v>312</v>
      </c>
      <c r="C38" s="56"/>
      <c r="D38" s="51">
        <v>1</v>
      </c>
      <c r="E38" s="69">
        <f>+E36</f>
        <v>5.98</v>
      </c>
      <c r="F38" s="69"/>
      <c r="G38" s="69">
        <f>3.3-0.6-0.1</f>
        <v>2.5999999999999996</v>
      </c>
      <c r="H38" s="69">
        <v>-1</v>
      </c>
      <c r="I38" s="69">
        <f t="shared" ref="I38" si="11">PRODUCT(E38:H38)</f>
        <v>-15.547999999999998</v>
      </c>
      <c r="J38" s="69">
        <f>+D38*I38</f>
        <v>-15.547999999999998</v>
      </c>
      <c r="K38" s="51"/>
      <c r="M38" s="52"/>
    </row>
    <row r="39" spans="1:13" outlineLevel="1">
      <c r="A39" s="3"/>
      <c r="B39" s="53" t="s">
        <v>313</v>
      </c>
      <c r="C39" s="56"/>
      <c r="D39" s="51">
        <v>1</v>
      </c>
      <c r="E39" s="69">
        <f>+E36</f>
        <v>5.98</v>
      </c>
      <c r="F39" s="69">
        <f>0.3+0.1</f>
        <v>0.4</v>
      </c>
      <c r="G39" s="69"/>
      <c r="H39" s="69">
        <v>1</v>
      </c>
      <c r="I39" s="69">
        <f t="shared" ref="I39" si="12">PRODUCT(E39:H39)</f>
        <v>2.3920000000000003</v>
      </c>
      <c r="J39" s="69">
        <f>+D39*I39</f>
        <v>2.3920000000000003</v>
      </c>
      <c r="K39" s="2"/>
      <c r="M39" s="52"/>
    </row>
    <row r="40" spans="1:13" outlineLevel="1">
      <c r="A40" s="3"/>
      <c r="B40" s="32" t="s">
        <v>193</v>
      </c>
      <c r="C40" s="54"/>
      <c r="D40" s="3">
        <v>4</v>
      </c>
      <c r="E40" s="66"/>
      <c r="F40" s="66"/>
      <c r="G40" s="66"/>
      <c r="H40" s="66"/>
      <c r="I40" s="67">
        <f>+SUM(J41:J45)</f>
        <v>12.858000000000002</v>
      </c>
      <c r="J40" s="67">
        <f t="shared" si="7"/>
        <v>51.432000000000009</v>
      </c>
      <c r="K40" s="2" t="s">
        <v>202</v>
      </c>
      <c r="M40" s="52"/>
    </row>
    <row r="41" spans="1:13" outlineLevel="1">
      <c r="A41" s="2"/>
      <c r="B41" s="53" t="s">
        <v>311</v>
      </c>
      <c r="C41" s="55"/>
      <c r="D41" s="2">
        <v>1</v>
      </c>
      <c r="E41" s="70">
        <v>3.1</v>
      </c>
      <c r="F41" s="70"/>
      <c r="G41" s="70">
        <f>3.3-0.31</f>
        <v>2.9899999999999998</v>
      </c>
      <c r="H41" s="70">
        <v>2</v>
      </c>
      <c r="I41" s="69">
        <f>PRODUCT(E41:H41)</f>
        <v>18.538</v>
      </c>
      <c r="J41" s="69">
        <f t="shared" si="7"/>
        <v>18.538</v>
      </c>
      <c r="K41" s="2"/>
      <c r="M41" s="52"/>
    </row>
    <row r="42" spans="1:13" outlineLevel="1">
      <c r="A42" s="2"/>
      <c r="B42" s="62"/>
      <c r="C42" s="55"/>
      <c r="D42" s="2">
        <v>1</v>
      </c>
      <c r="E42" s="70">
        <v>1</v>
      </c>
      <c r="F42" s="70"/>
      <c r="G42" s="70">
        <f>3.3-0.31</f>
        <v>2.9899999999999998</v>
      </c>
      <c r="H42" s="70">
        <v>2</v>
      </c>
      <c r="I42" s="69">
        <f t="shared" ref="I42:I43" si="13">PRODUCT(E42:H42)</f>
        <v>5.9799999999999995</v>
      </c>
      <c r="J42" s="69">
        <f t="shared" ref="J42" si="14">I42*D42</f>
        <v>5.9799999999999995</v>
      </c>
      <c r="K42" s="2"/>
      <c r="M42" s="52"/>
    </row>
    <row r="43" spans="1:13" outlineLevel="1">
      <c r="A43" s="142"/>
      <c r="B43" s="53" t="s">
        <v>13</v>
      </c>
      <c r="C43" s="56"/>
      <c r="D43" s="51">
        <v>1</v>
      </c>
      <c r="E43" s="69">
        <v>2.2000000000000002</v>
      </c>
      <c r="F43" s="69"/>
      <c r="G43" s="69">
        <v>2.2000000000000002</v>
      </c>
      <c r="H43" s="69">
        <v>-1</v>
      </c>
      <c r="I43" s="69">
        <f t="shared" si="13"/>
        <v>-4.8400000000000007</v>
      </c>
      <c r="J43" s="69">
        <f>+D43*I43</f>
        <v>-4.8400000000000007</v>
      </c>
      <c r="K43" s="51"/>
      <c r="M43" s="52"/>
    </row>
    <row r="44" spans="1:13" outlineLevel="1">
      <c r="A44" s="142"/>
      <c r="B44" s="53" t="s">
        <v>312</v>
      </c>
      <c r="C44" s="56"/>
      <c r="D44" s="51">
        <v>1</v>
      </c>
      <c r="E44" s="69">
        <f>+E41</f>
        <v>3.1</v>
      </c>
      <c r="F44" s="69"/>
      <c r="G44" s="69">
        <f>3.3-0.6-0.1</f>
        <v>2.5999999999999996</v>
      </c>
      <c r="H44" s="69">
        <v>-1</v>
      </c>
      <c r="I44" s="69">
        <f t="shared" ref="I44" si="15">PRODUCT(E44:H44)</f>
        <v>-8.0599999999999987</v>
      </c>
      <c r="J44" s="69">
        <f>+D44*I44</f>
        <v>-8.0599999999999987</v>
      </c>
      <c r="K44" s="51"/>
      <c r="M44" s="52"/>
    </row>
    <row r="45" spans="1:13" outlineLevel="1">
      <c r="A45" s="3"/>
      <c r="B45" s="53" t="s">
        <v>313</v>
      </c>
      <c r="C45" s="56"/>
      <c r="D45" s="51">
        <v>1</v>
      </c>
      <c r="E45" s="69">
        <f>+E44</f>
        <v>3.1</v>
      </c>
      <c r="F45" s="69">
        <f>0.3+0.1</f>
        <v>0.4</v>
      </c>
      <c r="G45" s="69"/>
      <c r="H45" s="69">
        <v>1</v>
      </c>
      <c r="I45" s="69">
        <f t="shared" ref="I45" si="16">PRODUCT(E45:H45)</f>
        <v>1.2400000000000002</v>
      </c>
      <c r="J45" s="69">
        <f>+D45*I45</f>
        <v>1.2400000000000002</v>
      </c>
      <c r="K45" s="2"/>
      <c r="M45" s="52"/>
    </row>
    <row r="46" spans="1:13" outlineLevel="1">
      <c r="A46" s="3"/>
      <c r="B46" s="32" t="s">
        <v>194</v>
      </c>
      <c r="C46" s="54"/>
      <c r="D46" s="3">
        <v>2</v>
      </c>
      <c r="E46" s="66"/>
      <c r="F46" s="66"/>
      <c r="G46" s="66"/>
      <c r="H46" s="66"/>
      <c r="I46" s="67">
        <f>+SUM(J47:J51)</f>
        <v>15.033999999999999</v>
      </c>
      <c r="J46" s="67">
        <f>+D46*I46</f>
        <v>30.067999999999998</v>
      </c>
      <c r="K46" s="2" t="s">
        <v>199</v>
      </c>
      <c r="M46" s="52"/>
    </row>
    <row r="47" spans="1:13" outlineLevel="1">
      <c r="A47" s="2"/>
      <c r="B47" s="53" t="s">
        <v>311</v>
      </c>
      <c r="C47" s="55"/>
      <c r="D47" s="2">
        <v>1</v>
      </c>
      <c r="E47" s="70">
        <v>2.95</v>
      </c>
      <c r="F47" s="70"/>
      <c r="G47" s="70">
        <f>3.3-0.26</f>
        <v>3.04</v>
      </c>
      <c r="H47" s="70">
        <v>2</v>
      </c>
      <c r="I47" s="69">
        <f t="shared" ref="I47:I51" si="17">PRODUCT(E47:H47)</f>
        <v>17.936</v>
      </c>
      <c r="J47" s="69">
        <f t="shared" ref="J47:J48" si="18">+D47*I47</f>
        <v>17.936</v>
      </c>
      <c r="K47" s="2"/>
      <c r="M47" s="52"/>
    </row>
    <row r="48" spans="1:13" outlineLevel="1">
      <c r="A48" s="2"/>
      <c r="B48" s="62"/>
      <c r="C48" s="55"/>
      <c r="D48" s="2">
        <v>1</v>
      </c>
      <c r="E48" s="70">
        <v>1.35</v>
      </c>
      <c r="F48" s="70"/>
      <c r="G48" s="70">
        <f>3.3-0.26</f>
        <v>3.04</v>
      </c>
      <c r="H48" s="70">
        <v>2</v>
      </c>
      <c r="I48" s="69">
        <f t="shared" si="17"/>
        <v>8.2080000000000002</v>
      </c>
      <c r="J48" s="69">
        <f t="shared" si="18"/>
        <v>8.2080000000000002</v>
      </c>
      <c r="K48" s="2"/>
      <c r="M48" s="52"/>
    </row>
    <row r="49" spans="1:13" outlineLevel="1">
      <c r="A49" s="142"/>
      <c r="B49" s="53" t="s">
        <v>13</v>
      </c>
      <c r="C49" s="56"/>
      <c r="D49" s="51">
        <v>1</v>
      </c>
      <c r="E49" s="69">
        <v>2.1</v>
      </c>
      <c r="F49" s="69"/>
      <c r="G49" s="69">
        <v>2.2000000000000002</v>
      </c>
      <c r="H49" s="69">
        <v>-1</v>
      </c>
      <c r="I49" s="69">
        <f t="shared" si="17"/>
        <v>-4.620000000000001</v>
      </c>
      <c r="J49" s="69">
        <f>+D49*I49</f>
        <v>-4.620000000000001</v>
      </c>
      <c r="K49" s="51"/>
      <c r="M49" s="52"/>
    </row>
    <row r="50" spans="1:13" outlineLevel="1">
      <c r="A50" s="142"/>
      <c r="B50" s="53" t="s">
        <v>312</v>
      </c>
      <c r="C50" s="56"/>
      <c r="D50" s="51">
        <v>1</v>
      </c>
      <c r="E50" s="69">
        <f>+E47</f>
        <v>2.95</v>
      </c>
      <c r="F50" s="69"/>
      <c r="G50" s="69">
        <f>3.3-0.6-0.1</f>
        <v>2.5999999999999996</v>
      </c>
      <c r="H50" s="69">
        <v>-1</v>
      </c>
      <c r="I50" s="69">
        <f t="shared" si="17"/>
        <v>-7.669999999999999</v>
      </c>
      <c r="J50" s="69">
        <f>+D50*I50</f>
        <v>-7.669999999999999</v>
      </c>
      <c r="K50" s="51"/>
      <c r="M50" s="52"/>
    </row>
    <row r="51" spans="1:13" outlineLevel="1">
      <c r="A51" s="3"/>
      <c r="B51" s="53" t="s">
        <v>313</v>
      </c>
      <c r="C51" s="56"/>
      <c r="D51" s="51">
        <v>1</v>
      </c>
      <c r="E51" s="69">
        <f>+E50</f>
        <v>2.95</v>
      </c>
      <c r="F51" s="69">
        <f>0.3+0.1</f>
        <v>0.4</v>
      </c>
      <c r="G51" s="69"/>
      <c r="H51" s="69">
        <v>1</v>
      </c>
      <c r="I51" s="69">
        <f t="shared" si="17"/>
        <v>1.1800000000000002</v>
      </c>
      <c r="J51" s="69">
        <f>+D51*I51</f>
        <v>1.1800000000000002</v>
      </c>
      <c r="K51" s="2"/>
      <c r="M51" s="52"/>
    </row>
    <row r="52" spans="1:13" outlineLevel="1">
      <c r="A52" s="3"/>
      <c r="B52" s="32" t="s">
        <v>195</v>
      </c>
      <c r="C52" s="54"/>
      <c r="D52" s="3">
        <v>2</v>
      </c>
      <c r="E52" s="66"/>
      <c r="F52" s="66"/>
      <c r="G52" s="66"/>
      <c r="H52" s="66"/>
      <c r="I52" s="67">
        <f>+SUM(J53:J57)</f>
        <v>14.547600000000003</v>
      </c>
      <c r="J52" s="67">
        <f t="shared" ref="J52:J60" si="19">I52*D52</f>
        <v>29.095200000000006</v>
      </c>
      <c r="K52" s="2" t="s">
        <v>203</v>
      </c>
      <c r="M52" s="52"/>
    </row>
    <row r="53" spans="1:13" outlineLevel="1">
      <c r="A53" s="2"/>
      <c r="B53" s="62" t="s">
        <v>311</v>
      </c>
      <c r="C53" s="55"/>
      <c r="D53" s="2">
        <v>1</v>
      </c>
      <c r="E53" s="70">
        <v>2.95</v>
      </c>
      <c r="F53" s="70"/>
      <c r="G53" s="70">
        <f>3.3-0.26</f>
        <v>3.04</v>
      </c>
      <c r="H53" s="70">
        <v>2</v>
      </c>
      <c r="I53" s="69">
        <f t="shared" ref="I53:I54" si="20">PRODUCT(E53:H53)</f>
        <v>17.936</v>
      </c>
      <c r="J53" s="69">
        <f t="shared" ref="J53:J54" si="21">+D53*I53</f>
        <v>17.936</v>
      </c>
      <c r="K53" s="2"/>
      <c r="M53" s="52"/>
    </row>
    <row r="54" spans="1:13" outlineLevel="1">
      <c r="A54" s="2"/>
      <c r="B54" s="62"/>
      <c r="C54" s="55"/>
      <c r="D54" s="2">
        <v>1</v>
      </c>
      <c r="E54" s="70">
        <v>1.27</v>
      </c>
      <c r="F54" s="70"/>
      <c r="G54" s="70">
        <f>3.3-0.26</f>
        <v>3.04</v>
      </c>
      <c r="H54" s="70">
        <v>2</v>
      </c>
      <c r="I54" s="69">
        <f t="shared" si="20"/>
        <v>7.7216000000000005</v>
      </c>
      <c r="J54" s="69">
        <f t="shared" si="21"/>
        <v>7.7216000000000005</v>
      </c>
      <c r="K54" s="2"/>
      <c r="M54" s="52"/>
    </row>
    <row r="55" spans="1:13" outlineLevel="1">
      <c r="A55" s="142"/>
      <c r="B55" s="53" t="s">
        <v>13</v>
      </c>
      <c r="C55" s="56"/>
      <c r="D55" s="51">
        <v>1</v>
      </c>
      <c r="E55" s="69">
        <v>2.1</v>
      </c>
      <c r="F55" s="69"/>
      <c r="G55" s="69">
        <v>2.2000000000000002</v>
      </c>
      <c r="H55" s="69">
        <v>-1</v>
      </c>
      <c r="I55" s="69">
        <f t="shared" ref="I55:I57" si="22">PRODUCT(E55:H55)</f>
        <v>-4.620000000000001</v>
      </c>
      <c r="J55" s="69">
        <f>+D55*I55</f>
        <v>-4.620000000000001</v>
      </c>
      <c r="K55" s="51"/>
      <c r="M55" s="52"/>
    </row>
    <row r="56" spans="1:13" outlineLevel="1">
      <c r="A56" s="142"/>
      <c r="B56" s="53" t="s">
        <v>312</v>
      </c>
      <c r="C56" s="56"/>
      <c r="D56" s="51">
        <v>1</v>
      </c>
      <c r="E56" s="69">
        <f>+E53</f>
        <v>2.95</v>
      </c>
      <c r="F56" s="69"/>
      <c r="G56" s="69">
        <f>3.3-0.6-0.1</f>
        <v>2.5999999999999996</v>
      </c>
      <c r="H56" s="69">
        <v>-1</v>
      </c>
      <c r="I56" s="69">
        <f t="shared" si="22"/>
        <v>-7.669999999999999</v>
      </c>
      <c r="J56" s="69">
        <f>+D56*I56</f>
        <v>-7.669999999999999</v>
      </c>
      <c r="K56" s="51"/>
      <c r="M56" s="52"/>
    </row>
    <row r="57" spans="1:13" outlineLevel="1">
      <c r="A57" s="3"/>
      <c r="B57" s="53" t="s">
        <v>313</v>
      </c>
      <c r="C57" s="56"/>
      <c r="D57" s="51">
        <v>1</v>
      </c>
      <c r="E57" s="69">
        <f>+E56</f>
        <v>2.95</v>
      </c>
      <c r="F57" s="69">
        <f>0.3+0.1</f>
        <v>0.4</v>
      </c>
      <c r="G57" s="69"/>
      <c r="H57" s="69">
        <v>1</v>
      </c>
      <c r="I57" s="69">
        <f t="shared" si="22"/>
        <v>1.1800000000000002</v>
      </c>
      <c r="J57" s="69">
        <f>+D57*I57</f>
        <v>1.1800000000000002</v>
      </c>
      <c r="K57" s="2"/>
      <c r="M57" s="52"/>
    </row>
    <row r="58" spans="1:13" outlineLevel="1">
      <c r="A58" s="3"/>
      <c r="B58" s="32" t="s">
        <v>196</v>
      </c>
      <c r="C58" s="54"/>
      <c r="D58" s="3">
        <v>2</v>
      </c>
      <c r="E58" s="66"/>
      <c r="F58" s="66"/>
      <c r="G58" s="66"/>
      <c r="H58" s="66"/>
      <c r="I58" s="67">
        <f>+SUM(J59:J69)</f>
        <v>46.455200000000005</v>
      </c>
      <c r="J58" s="67">
        <f t="shared" si="19"/>
        <v>92.91040000000001</v>
      </c>
      <c r="K58" s="2" t="s">
        <v>204</v>
      </c>
      <c r="M58" s="52"/>
    </row>
    <row r="59" spans="1:13" outlineLevel="1">
      <c r="A59" s="2"/>
      <c r="B59" s="62" t="s">
        <v>311</v>
      </c>
      <c r="C59" s="55"/>
      <c r="D59" s="2">
        <v>1</v>
      </c>
      <c r="E59" s="70">
        <v>3</v>
      </c>
      <c r="F59" s="70"/>
      <c r="G59" s="70">
        <f>3.3-0.31</f>
        <v>2.9899999999999998</v>
      </c>
      <c r="H59" s="70">
        <v>2</v>
      </c>
      <c r="I59" s="69">
        <f>PRODUCT(E59:H59)</f>
        <v>17.939999999999998</v>
      </c>
      <c r="J59" s="69">
        <f t="shared" si="19"/>
        <v>17.939999999999998</v>
      </c>
      <c r="K59" s="2"/>
      <c r="M59" s="52"/>
    </row>
    <row r="60" spans="1:13" outlineLevel="1">
      <c r="A60" s="3"/>
      <c r="B60" s="53"/>
      <c r="C60" s="56"/>
      <c r="D60" s="51">
        <v>1</v>
      </c>
      <c r="E60" s="69">
        <v>1.07</v>
      </c>
      <c r="F60" s="69"/>
      <c r="G60" s="70">
        <f>3.3-0.31</f>
        <v>2.9899999999999998</v>
      </c>
      <c r="H60" s="70">
        <v>2</v>
      </c>
      <c r="I60" s="69">
        <f>PRODUCT(E60:H60)</f>
        <v>6.3986000000000001</v>
      </c>
      <c r="J60" s="69">
        <f t="shared" si="19"/>
        <v>6.3986000000000001</v>
      </c>
      <c r="K60" s="2"/>
      <c r="M60" s="52"/>
    </row>
    <row r="61" spans="1:13" outlineLevel="1">
      <c r="A61" s="142"/>
      <c r="B61" s="53" t="s">
        <v>13</v>
      </c>
      <c r="C61" s="56"/>
      <c r="D61" s="51">
        <v>1</v>
      </c>
      <c r="E61" s="69">
        <v>2.1</v>
      </c>
      <c r="F61" s="69"/>
      <c r="G61" s="69">
        <v>2.2000000000000002</v>
      </c>
      <c r="H61" s="69">
        <v>-1</v>
      </c>
      <c r="I61" s="69">
        <f t="shared" ref="I61:I63" si="23">PRODUCT(E61:H61)</f>
        <v>-4.620000000000001</v>
      </c>
      <c r="J61" s="69">
        <f>+D61*I61</f>
        <v>-4.620000000000001</v>
      </c>
      <c r="K61" s="51"/>
      <c r="M61" s="52"/>
    </row>
    <row r="62" spans="1:13" outlineLevel="1">
      <c r="A62" s="142"/>
      <c r="B62" s="53" t="s">
        <v>312</v>
      </c>
      <c r="C62" s="56"/>
      <c r="D62" s="51">
        <v>1</v>
      </c>
      <c r="E62" s="69">
        <f>+E59</f>
        <v>3</v>
      </c>
      <c r="F62" s="69"/>
      <c r="G62" s="69">
        <f>3.3-0.6-0.1</f>
        <v>2.5999999999999996</v>
      </c>
      <c r="H62" s="69">
        <v>-1</v>
      </c>
      <c r="I62" s="69">
        <f t="shared" si="23"/>
        <v>-7.7999999999999989</v>
      </c>
      <c r="J62" s="69">
        <f>+D62*I62</f>
        <v>-7.7999999999999989</v>
      </c>
      <c r="K62" s="51"/>
      <c r="M62" s="52"/>
    </row>
    <row r="63" spans="1:13" outlineLevel="1">
      <c r="A63" s="3"/>
      <c r="B63" s="53" t="s">
        <v>313</v>
      </c>
      <c r="C63" s="56"/>
      <c r="D63" s="51">
        <v>1</v>
      </c>
      <c r="E63" s="69">
        <f>+E62</f>
        <v>3</v>
      </c>
      <c r="F63" s="69">
        <f>0.3+0.1</f>
        <v>0.4</v>
      </c>
      <c r="G63" s="69"/>
      <c r="H63" s="69">
        <v>1</v>
      </c>
      <c r="I63" s="69">
        <f t="shared" si="23"/>
        <v>1.2000000000000002</v>
      </c>
      <c r="J63" s="69">
        <f>+D63*I63</f>
        <v>1.2000000000000002</v>
      </c>
      <c r="K63" s="2"/>
      <c r="M63" s="52"/>
    </row>
    <row r="64" spans="1:13" outlineLevel="1">
      <c r="A64" s="3"/>
      <c r="B64" s="53" t="s">
        <v>314</v>
      </c>
      <c r="C64" s="56"/>
      <c r="D64" s="51">
        <v>1</v>
      </c>
      <c r="E64" s="69">
        <v>5.17</v>
      </c>
      <c r="F64" s="69"/>
      <c r="G64" s="70">
        <f>3.3-0.31</f>
        <v>2.9899999999999998</v>
      </c>
      <c r="H64" s="70">
        <v>2</v>
      </c>
      <c r="I64" s="69">
        <f t="shared" ref="I64" si="24">PRODUCT(E64:H64)</f>
        <v>30.916599999999995</v>
      </c>
      <c r="J64" s="69">
        <f t="shared" ref="J64" si="25">I64*D64</f>
        <v>30.916599999999995</v>
      </c>
      <c r="K64" s="2"/>
      <c r="M64" s="52"/>
    </row>
    <row r="65" spans="1:13" outlineLevel="1">
      <c r="A65" s="3"/>
      <c r="B65" s="53"/>
      <c r="C65" s="56"/>
      <c r="D65" s="51">
        <v>1</v>
      </c>
      <c r="E65" s="69">
        <v>1.05</v>
      </c>
      <c r="F65" s="69"/>
      <c r="G65" s="70">
        <f>3.3-0.31</f>
        <v>2.9899999999999998</v>
      </c>
      <c r="H65" s="70">
        <v>2</v>
      </c>
      <c r="I65" s="69">
        <f t="shared" ref="I65:I69" si="26">PRODUCT(E65:H65)</f>
        <v>6.2789999999999999</v>
      </c>
      <c r="J65" s="69">
        <f t="shared" ref="J65:J69" si="27">I65*D65</f>
        <v>6.2789999999999999</v>
      </c>
      <c r="K65" s="2"/>
      <c r="M65" s="52"/>
    </row>
    <row r="66" spans="1:13" outlineLevel="1">
      <c r="A66" s="3"/>
      <c r="B66" s="53" t="s">
        <v>188</v>
      </c>
      <c r="C66" s="56"/>
      <c r="D66" s="51">
        <v>1</v>
      </c>
      <c r="E66" s="69">
        <v>0.87</v>
      </c>
      <c r="F66" s="69"/>
      <c r="G66" s="69">
        <v>2.2000000000000002</v>
      </c>
      <c r="H66" s="69">
        <v>-1</v>
      </c>
      <c r="I66" s="69">
        <f t="shared" si="26"/>
        <v>-1.9140000000000001</v>
      </c>
      <c r="J66" s="69">
        <f t="shared" si="27"/>
        <v>-1.9140000000000001</v>
      </c>
      <c r="K66" s="2"/>
      <c r="M66" s="52"/>
    </row>
    <row r="67" spans="1:13" outlineLevel="1">
      <c r="A67" s="3"/>
      <c r="B67" s="53" t="s">
        <v>312</v>
      </c>
      <c r="C67" s="56"/>
      <c r="D67" s="51">
        <v>1</v>
      </c>
      <c r="E67" s="69">
        <f>+E65</f>
        <v>1.05</v>
      </c>
      <c r="F67" s="69"/>
      <c r="G67" s="69">
        <f>3.3-0.6-0.1</f>
        <v>2.5999999999999996</v>
      </c>
      <c r="H67" s="69">
        <v>-1</v>
      </c>
      <c r="I67" s="69">
        <f t="shared" si="26"/>
        <v>-2.7299999999999995</v>
      </c>
      <c r="J67" s="69">
        <f t="shared" si="27"/>
        <v>-2.7299999999999995</v>
      </c>
      <c r="K67" s="2"/>
      <c r="M67" s="52"/>
    </row>
    <row r="68" spans="1:13" outlineLevel="1">
      <c r="A68" s="3"/>
      <c r="B68" s="53" t="s">
        <v>313</v>
      </c>
      <c r="C68" s="56"/>
      <c r="D68" s="51">
        <v>1</v>
      </c>
      <c r="E68" s="69">
        <f>+E67</f>
        <v>1.05</v>
      </c>
      <c r="F68" s="69">
        <f>0.3+0.1</f>
        <v>0.4</v>
      </c>
      <c r="G68" s="69"/>
      <c r="H68" s="69">
        <v>1</v>
      </c>
      <c r="I68" s="69">
        <f t="shared" si="26"/>
        <v>0.42000000000000004</v>
      </c>
      <c r="J68" s="69">
        <f>+D68*I68</f>
        <v>0.42000000000000004</v>
      </c>
      <c r="K68" s="2"/>
      <c r="M68" s="52"/>
    </row>
    <row r="69" spans="1:13" outlineLevel="1">
      <c r="A69" s="3"/>
      <c r="B69" s="53"/>
      <c r="C69" s="56"/>
      <c r="D69" s="51">
        <v>1</v>
      </c>
      <c r="E69" s="69">
        <v>3.65</v>
      </c>
      <c r="F69" s="69"/>
      <c r="G69" s="69">
        <v>0.1</v>
      </c>
      <c r="H69" s="69">
        <v>1</v>
      </c>
      <c r="I69" s="69">
        <f t="shared" si="26"/>
        <v>0.36499999999999999</v>
      </c>
      <c r="J69" s="69">
        <f t="shared" si="27"/>
        <v>0.36499999999999999</v>
      </c>
      <c r="K69" s="2"/>
      <c r="M69" s="52"/>
    </row>
    <row r="70" spans="1:13">
      <c r="A70" s="58">
        <v>2</v>
      </c>
      <c r="B70" s="59" t="s">
        <v>173</v>
      </c>
      <c r="C70" s="60"/>
      <c r="D70" s="58">
        <v>8</v>
      </c>
      <c r="E70" s="68"/>
      <c r="F70" s="68"/>
      <c r="G70" s="68"/>
      <c r="H70" s="68"/>
      <c r="I70" s="68">
        <f>+I9</f>
        <v>1224.6874399999999</v>
      </c>
      <c r="J70" s="68">
        <f>+D70*I70</f>
        <v>9797.4995199999994</v>
      </c>
      <c r="K70" s="61"/>
      <c r="M70" s="52"/>
    </row>
    <row r="71" spans="1:13">
      <c r="A71" s="58">
        <v>2</v>
      </c>
      <c r="B71" s="59" t="s">
        <v>174</v>
      </c>
      <c r="C71" s="60"/>
      <c r="D71" s="58">
        <v>1</v>
      </c>
      <c r="E71" s="68"/>
      <c r="F71" s="68"/>
      <c r="G71" s="68"/>
      <c r="H71" s="68"/>
      <c r="I71" s="68">
        <f>+I9</f>
        <v>1224.6874399999999</v>
      </c>
      <c r="J71" s="68">
        <f>+D71*I71</f>
        <v>1224.6874399999999</v>
      </c>
      <c r="K71" s="61"/>
      <c r="M71" s="52"/>
    </row>
    <row r="72" spans="1:13">
      <c r="A72" s="58">
        <v>2</v>
      </c>
      <c r="B72" s="59" t="s">
        <v>175</v>
      </c>
      <c r="C72" s="60"/>
      <c r="D72" s="58">
        <v>3</v>
      </c>
      <c r="E72" s="68"/>
      <c r="F72" s="68"/>
      <c r="G72" s="68"/>
      <c r="H72" s="68"/>
      <c r="I72" s="68">
        <f>+I9</f>
        <v>1224.6874399999999</v>
      </c>
      <c r="J72" s="68">
        <f>+D72*I72</f>
        <v>3674.06232</v>
      </c>
      <c r="K72" s="61"/>
      <c r="M72" s="52"/>
    </row>
    <row r="73" spans="1:13">
      <c r="A73" s="58">
        <v>2</v>
      </c>
      <c r="B73" s="59" t="s">
        <v>176</v>
      </c>
      <c r="C73" s="60"/>
      <c r="D73" s="58">
        <v>1</v>
      </c>
      <c r="E73" s="68"/>
      <c r="F73" s="68"/>
      <c r="G73" s="68"/>
      <c r="H73" s="68"/>
      <c r="I73" s="68">
        <f>+I9</f>
        <v>1224.6874399999999</v>
      </c>
      <c r="J73" s="68">
        <f>+D73*I73</f>
        <v>1224.6874399999999</v>
      </c>
      <c r="K73" s="61"/>
      <c r="M73" s="52"/>
    </row>
    <row r="74" spans="1:13">
      <c r="A74" s="58">
        <v>2</v>
      </c>
      <c r="B74" s="59" t="s">
        <v>279</v>
      </c>
      <c r="C74" s="60"/>
      <c r="D74" s="58"/>
      <c r="E74" s="68"/>
      <c r="F74" s="68"/>
      <c r="G74" s="68"/>
      <c r="H74" s="68"/>
      <c r="I74" s="68"/>
      <c r="J74" s="68">
        <f>+D74*I74</f>
        <v>0</v>
      </c>
      <c r="K74" s="61"/>
      <c r="M74" s="52"/>
    </row>
    <row r="75" spans="1:13">
      <c r="A75" s="58"/>
      <c r="B75" s="59" t="s">
        <v>280</v>
      </c>
      <c r="C75" s="60"/>
      <c r="D75" s="58">
        <v>1</v>
      </c>
      <c r="E75" s="68"/>
      <c r="F75" s="68"/>
      <c r="G75" s="68"/>
      <c r="H75" s="68"/>
      <c r="I75" s="68"/>
      <c r="J75" s="68"/>
      <c r="K75" s="61"/>
      <c r="M75" s="52"/>
    </row>
  </sheetData>
  <autoFilter ref="A5:K75" xr:uid="{00000000-0009-0000-0000-000002000000}"/>
  <mergeCells count="10">
    <mergeCell ref="A2:K2"/>
    <mergeCell ref="A6:A7"/>
    <mergeCell ref="B6:B7"/>
    <mergeCell ref="C6:C7"/>
    <mergeCell ref="D6:D7"/>
    <mergeCell ref="E6:G6"/>
    <mergeCell ref="H6:H7"/>
    <mergeCell ref="I6:I7"/>
    <mergeCell ref="J6:J7"/>
    <mergeCell ref="K6:K7"/>
  </mergeCells>
  <conditionalFormatting sqref="A6:K6 A7:I7 K7">
    <cfRule type="cellIs" dxfId="4" priority="1" operator="lessThan">
      <formula>0</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E9DD1-5776-40A4-976F-C6E60B391561}">
  <sheetPr>
    <tabColor theme="0" tint="-0.14999847407452621"/>
  </sheetPr>
  <dimension ref="A2:O33"/>
  <sheetViews>
    <sheetView zoomScaleNormal="100" workbookViewId="0">
      <pane xSplit="3" ySplit="7" topLeftCell="D8" activePane="bottomRight" state="frozen"/>
      <selection activeCell="I17" sqref="I17"/>
      <selection pane="topRight" activeCell="I17" sqref="I17"/>
      <selection pane="bottomLeft" activeCell="I17" sqref="I17"/>
      <selection pane="bottomRight" activeCell="J22" sqref="J22"/>
    </sheetView>
  </sheetViews>
  <sheetFormatPr defaultRowHeight="15" outlineLevelRow="1"/>
  <cols>
    <col min="1" max="1" width="6.28515625" style="1" customWidth="1"/>
    <col min="2" max="2" width="58" style="1" customWidth="1"/>
    <col min="3" max="3" width="9.140625" style="57"/>
    <col min="4" max="4" width="9.140625" style="1" customWidth="1"/>
    <col min="5" max="5" width="10.42578125" style="71" customWidth="1"/>
    <col min="6" max="8" width="9.140625" style="71" customWidth="1"/>
    <col min="9" max="9" width="13" style="71" customWidth="1"/>
    <col min="10" max="10" width="11.140625" style="71" customWidth="1"/>
    <col min="11" max="11" width="15" style="1" customWidth="1"/>
    <col min="12" max="12" width="9.140625" style="1"/>
    <col min="13" max="13" width="13.7109375" style="1" customWidth="1"/>
    <col min="14" max="14" width="44.5703125" style="1" customWidth="1"/>
    <col min="15" max="16384" width="9.140625" style="1"/>
  </cols>
  <sheetData>
    <row r="2" spans="1:15">
      <c r="A2" s="178" t="s">
        <v>205</v>
      </c>
      <c r="B2" s="178"/>
      <c r="C2" s="178"/>
      <c r="D2" s="178"/>
      <c r="E2" s="178"/>
      <c r="F2" s="178"/>
      <c r="G2" s="178"/>
      <c r="H2" s="178"/>
      <c r="I2" s="178"/>
      <c r="J2" s="178"/>
      <c r="K2" s="178"/>
    </row>
    <row r="6" spans="1:15" ht="15.75" customHeight="1">
      <c r="A6" s="179" t="s">
        <v>0</v>
      </c>
      <c r="B6" s="179" t="s">
        <v>1</v>
      </c>
      <c r="C6" s="179" t="s">
        <v>2</v>
      </c>
      <c r="D6" s="179" t="s">
        <v>3</v>
      </c>
      <c r="E6" s="181" t="s">
        <v>4</v>
      </c>
      <c r="F6" s="181"/>
      <c r="G6" s="181"/>
      <c r="H6" s="182" t="s">
        <v>5</v>
      </c>
      <c r="I6" s="181" t="s">
        <v>93</v>
      </c>
      <c r="J6" s="185" t="s">
        <v>6</v>
      </c>
      <c r="K6" s="179" t="s">
        <v>7</v>
      </c>
    </row>
    <row r="7" spans="1:15" ht="36.75" customHeight="1">
      <c r="A7" s="180"/>
      <c r="B7" s="180"/>
      <c r="C7" s="180"/>
      <c r="D7" s="180"/>
      <c r="E7" s="72" t="s">
        <v>8</v>
      </c>
      <c r="F7" s="72" t="s">
        <v>9</v>
      </c>
      <c r="G7" s="72" t="s">
        <v>10</v>
      </c>
      <c r="H7" s="183"/>
      <c r="I7" s="184"/>
      <c r="J7" s="186"/>
      <c r="K7" s="180"/>
    </row>
    <row r="8" spans="1:15" ht="29.25">
      <c r="A8" s="3" t="s">
        <v>19</v>
      </c>
      <c r="B8" s="32" t="s">
        <v>107</v>
      </c>
      <c r="C8" s="54" t="s">
        <v>12</v>
      </c>
      <c r="D8" s="3"/>
      <c r="E8" s="66"/>
      <c r="F8" s="66"/>
      <c r="G8" s="66"/>
      <c r="H8" s="66"/>
      <c r="I8" s="67"/>
      <c r="J8" s="67"/>
      <c r="K8" s="2"/>
      <c r="M8" s="52"/>
      <c r="N8" s="1" t="s">
        <v>178</v>
      </c>
      <c r="O8" s="1">
        <f>2.65+0.05-0.035-0.08+0.03</f>
        <v>2.6149999999999993</v>
      </c>
    </row>
    <row r="9" spans="1:15">
      <c r="A9" s="58">
        <v>1</v>
      </c>
      <c r="B9" s="59" t="s">
        <v>146</v>
      </c>
      <c r="C9" s="60"/>
      <c r="D9" s="58">
        <v>1</v>
      </c>
      <c r="E9" s="68"/>
      <c r="F9" s="68"/>
      <c r="G9" s="68"/>
      <c r="H9" s="68"/>
      <c r="I9" s="68">
        <f>+I10</f>
        <v>202.47900000000001</v>
      </c>
      <c r="J9" s="68">
        <f t="shared" ref="J9:J16" si="0">+D9*I9</f>
        <v>202.47900000000001</v>
      </c>
      <c r="K9" s="61"/>
      <c r="M9" s="52"/>
    </row>
    <row r="10" spans="1:15">
      <c r="A10" s="58">
        <v>2</v>
      </c>
      <c r="B10" s="59" t="s">
        <v>172</v>
      </c>
      <c r="C10" s="60"/>
      <c r="D10" s="58">
        <v>5</v>
      </c>
      <c r="E10" s="68"/>
      <c r="F10" s="68"/>
      <c r="G10" s="68"/>
      <c r="H10" s="68"/>
      <c r="I10" s="68">
        <f>+J11+J14+J17+J19+J21+J23+J25</f>
        <v>202.47900000000001</v>
      </c>
      <c r="J10" s="68">
        <f t="shared" si="0"/>
        <v>1012.3950000000001</v>
      </c>
      <c r="K10" s="61"/>
      <c r="M10" s="52"/>
    </row>
    <row r="11" spans="1:15" ht="29.25" outlineLevel="1">
      <c r="A11" s="3"/>
      <c r="B11" s="32" t="s">
        <v>190</v>
      </c>
      <c r="C11" s="54"/>
      <c r="D11" s="3">
        <v>8</v>
      </c>
      <c r="E11" s="66"/>
      <c r="F11" s="66"/>
      <c r="G11" s="66"/>
      <c r="H11" s="66"/>
      <c r="I11" s="67">
        <f>+SUM(J12:J13)</f>
        <v>4.1385000000000005</v>
      </c>
      <c r="J11" s="67">
        <f t="shared" si="0"/>
        <v>33.108000000000004</v>
      </c>
      <c r="K11" s="2"/>
      <c r="M11" s="52"/>
      <c r="N11" s="52"/>
    </row>
    <row r="12" spans="1:15" outlineLevel="1">
      <c r="A12" s="3"/>
      <c r="B12" s="53" t="s">
        <v>311</v>
      </c>
      <c r="C12" s="56"/>
      <c r="D12" s="51">
        <v>1</v>
      </c>
      <c r="E12" s="141">
        <v>2.14</v>
      </c>
      <c r="F12" s="69">
        <f>1.2-0.3</f>
        <v>0.89999999999999991</v>
      </c>
      <c r="G12" s="69"/>
      <c r="H12" s="69">
        <v>1</v>
      </c>
      <c r="I12" s="69">
        <f t="shared" ref="I12:I13" si="1">PRODUCT(E12:H12)</f>
        <v>1.9259999999999999</v>
      </c>
      <c r="J12" s="69">
        <f t="shared" si="0"/>
        <v>1.9259999999999999</v>
      </c>
      <c r="K12" s="2" t="s">
        <v>197</v>
      </c>
    </row>
    <row r="13" spans="1:15" outlineLevel="1">
      <c r="A13" s="3"/>
      <c r="B13" s="53" t="s">
        <v>314</v>
      </c>
      <c r="C13" s="56"/>
      <c r="D13" s="51">
        <v>1</v>
      </c>
      <c r="E13" s="141">
        <v>2.95</v>
      </c>
      <c r="F13" s="69">
        <f>1.05-0.3</f>
        <v>0.75</v>
      </c>
      <c r="G13" s="69"/>
      <c r="H13" s="69">
        <v>1</v>
      </c>
      <c r="I13" s="69">
        <f t="shared" si="1"/>
        <v>2.2125000000000004</v>
      </c>
      <c r="J13" s="69">
        <f t="shared" si="0"/>
        <v>2.2125000000000004</v>
      </c>
      <c r="K13" s="2"/>
    </row>
    <row r="14" spans="1:15" ht="43.5" outlineLevel="1">
      <c r="A14" s="3"/>
      <c r="B14" s="32" t="s">
        <v>192</v>
      </c>
      <c r="C14" s="54" t="s">
        <v>12</v>
      </c>
      <c r="D14" s="3">
        <v>18</v>
      </c>
      <c r="E14" s="66"/>
      <c r="F14" s="66"/>
      <c r="G14" s="66"/>
      <c r="H14" s="66"/>
      <c r="I14" s="67">
        <f>+SUM(J15:J16)</f>
        <v>6.915</v>
      </c>
      <c r="J14" s="67">
        <f t="shared" si="0"/>
        <v>124.47</v>
      </c>
      <c r="K14" s="2"/>
      <c r="M14" s="52"/>
    </row>
    <row r="15" spans="1:15" outlineLevel="1">
      <c r="A15" s="3"/>
      <c r="B15" s="53" t="s">
        <v>311</v>
      </c>
      <c r="C15" s="56"/>
      <c r="D15" s="51">
        <v>1</v>
      </c>
      <c r="E15" s="141">
        <v>1.05</v>
      </c>
      <c r="F15" s="69">
        <f>4.85-0.3</f>
        <v>4.55</v>
      </c>
      <c r="G15" s="69"/>
      <c r="H15" s="69">
        <v>1</v>
      </c>
      <c r="I15" s="69">
        <f t="shared" ref="I15:I16" si="2">PRODUCT(E15:H15)</f>
        <v>4.7774999999999999</v>
      </c>
      <c r="J15" s="69">
        <f t="shared" si="0"/>
        <v>4.7774999999999999</v>
      </c>
      <c r="K15" s="2" t="s">
        <v>198</v>
      </c>
      <c r="M15" s="52"/>
    </row>
    <row r="16" spans="1:15" outlineLevel="1">
      <c r="A16" s="3"/>
      <c r="B16" s="53" t="s">
        <v>314</v>
      </c>
      <c r="C16" s="56"/>
      <c r="D16" s="51">
        <v>1</v>
      </c>
      <c r="E16" s="141">
        <v>2.85</v>
      </c>
      <c r="F16" s="69">
        <f>1.05-0.3</f>
        <v>0.75</v>
      </c>
      <c r="G16" s="69"/>
      <c r="H16" s="69">
        <v>1</v>
      </c>
      <c r="I16" s="69">
        <f t="shared" si="2"/>
        <v>2.1375000000000002</v>
      </c>
      <c r="J16" s="69">
        <f t="shared" si="0"/>
        <v>2.1375000000000002</v>
      </c>
      <c r="K16" s="2"/>
      <c r="M16" s="52"/>
    </row>
    <row r="17" spans="1:13" outlineLevel="1">
      <c r="A17" s="3"/>
      <c r="B17" s="32" t="s">
        <v>191</v>
      </c>
      <c r="C17" s="54" t="s">
        <v>12</v>
      </c>
      <c r="D17" s="3">
        <v>2</v>
      </c>
      <c r="E17" s="66"/>
      <c r="F17" s="66"/>
      <c r="G17" s="66"/>
      <c r="H17" s="66"/>
      <c r="I17" s="67">
        <f>+SUM(J18:J18)</f>
        <v>5.9640000000000013</v>
      </c>
      <c r="J17" s="67">
        <f t="shared" ref="J17:J20" si="3">I17*D17</f>
        <v>11.928000000000003</v>
      </c>
      <c r="K17" s="2" t="s">
        <v>200</v>
      </c>
      <c r="M17" s="52"/>
    </row>
    <row r="18" spans="1:13" outlineLevel="1">
      <c r="A18" s="3"/>
      <c r="B18" s="53" t="s">
        <v>311</v>
      </c>
      <c r="C18" s="56"/>
      <c r="D18" s="51">
        <v>1</v>
      </c>
      <c r="E18" s="69">
        <v>1.05</v>
      </c>
      <c r="F18" s="69">
        <f>5.98-0.3</f>
        <v>5.6800000000000006</v>
      </c>
      <c r="G18" s="69"/>
      <c r="H18" s="69">
        <v>1</v>
      </c>
      <c r="I18" s="69">
        <f t="shared" ref="I18" si="4">PRODUCT(E18:H18)</f>
        <v>5.9640000000000013</v>
      </c>
      <c r="J18" s="69">
        <f>+D18*I18</f>
        <v>5.9640000000000013</v>
      </c>
      <c r="K18" s="2"/>
      <c r="M18" s="52"/>
    </row>
    <row r="19" spans="1:13" outlineLevel="1">
      <c r="A19" s="3"/>
      <c r="B19" s="32" t="s">
        <v>193</v>
      </c>
      <c r="C19" s="54"/>
      <c r="D19" s="3">
        <v>4</v>
      </c>
      <c r="E19" s="66"/>
      <c r="F19" s="66"/>
      <c r="G19" s="66"/>
      <c r="H19" s="66"/>
      <c r="I19" s="67">
        <f>+SUM(J20:J20)</f>
        <v>2.17</v>
      </c>
      <c r="J19" s="67">
        <f t="shared" si="3"/>
        <v>8.68</v>
      </c>
      <c r="K19" s="2" t="s">
        <v>202</v>
      </c>
      <c r="M19" s="52"/>
    </row>
    <row r="20" spans="1:13" outlineLevel="1">
      <c r="A20" s="2"/>
      <c r="B20" s="53" t="s">
        <v>311</v>
      </c>
      <c r="C20" s="55"/>
      <c r="D20" s="2">
        <v>1</v>
      </c>
      <c r="E20" s="70">
        <v>3.1</v>
      </c>
      <c r="F20" s="70">
        <f>1-0.3</f>
        <v>0.7</v>
      </c>
      <c r="G20" s="70"/>
      <c r="H20" s="70">
        <v>1</v>
      </c>
      <c r="I20" s="69">
        <f>PRODUCT(E20:H20)</f>
        <v>2.17</v>
      </c>
      <c r="J20" s="69">
        <f t="shared" si="3"/>
        <v>2.17</v>
      </c>
      <c r="K20" s="2"/>
      <c r="M20" s="52"/>
    </row>
    <row r="21" spans="1:13" outlineLevel="1">
      <c r="A21" s="3"/>
      <c r="B21" s="32" t="s">
        <v>194</v>
      </c>
      <c r="C21" s="54"/>
      <c r="D21" s="3">
        <v>2</v>
      </c>
      <c r="E21" s="66"/>
      <c r="F21" s="66"/>
      <c r="G21" s="66"/>
      <c r="H21" s="66"/>
      <c r="I21" s="67">
        <f>+SUM(J22:J22)</f>
        <v>3.0975000000000001</v>
      </c>
      <c r="J21" s="67">
        <f>+D21*I21</f>
        <v>6.1950000000000003</v>
      </c>
      <c r="K21" s="2" t="s">
        <v>199</v>
      </c>
      <c r="M21" s="52"/>
    </row>
    <row r="22" spans="1:13" outlineLevel="1">
      <c r="A22" s="2"/>
      <c r="B22" s="53" t="s">
        <v>311</v>
      </c>
      <c r="C22" s="55"/>
      <c r="D22" s="2">
        <v>1</v>
      </c>
      <c r="E22" s="70">
        <v>2.95</v>
      </c>
      <c r="F22" s="70">
        <f>1.35-0.3</f>
        <v>1.05</v>
      </c>
      <c r="G22" s="70"/>
      <c r="H22" s="70">
        <v>1</v>
      </c>
      <c r="I22" s="69">
        <f t="shared" ref="I22" si="5">PRODUCT(E22:H22)</f>
        <v>3.0975000000000001</v>
      </c>
      <c r="J22" s="69">
        <f t="shared" ref="J22" si="6">+D22*I22</f>
        <v>3.0975000000000001</v>
      </c>
      <c r="K22" s="2"/>
      <c r="M22" s="52"/>
    </row>
    <row r="23" spans="1:13" outlineLevel="1">
      <c r="A23" s="3"/>
      <c r="B23" s="32" t="s">
        <v>195</v>
      </c>
      <c r="C23" s="54"/>
      <c r="D23" s="3">
        <v>2</v>
      </c>
      <c r="E23" s="66"/>
      <c r="F23" s="66"/>
      <c r="G23" s="66"/>
      <c r="H23" s="66"/>
      <c r="I23" s="67">
        <f>+SUM(J24:J24)</f>
        <v>2.8614999999999999</v>
      </c>
      <c r="J23" s="67">
        <f t="shared" ref="J23:J26" si="7">I23*D23</f>
        <v>5.7229999999999999</v>
      </c>
      <c r="K23" s="2" t="s">
        <v>203</v>
      </c>
      <c r="M23" s="52"/>
    </row>
    <row r="24" spans="1:13" ht="15.75" customHeight="1" outlineLevel="1">
      <c r="A24" s="2"/>
      <c r="B24" s="62" t="s">
        <v>311</v>
      </c>
      <c r="C24" s="55"/>
      <c r="D24" s="2">
        <v>1</v>
      </c>
      <c r="E24" s="70">
        <v>2.95</v>
      </c>
      <c r="F24" s="70">
        <f>1.27-0.3</f>
        <v>0.97</v>
      </c>
      <c r="G24" s="70"/>
      <c r="H24" s="70">
        <v>1</v>
      </c>
      <c r="I24" s="69">
        <f t="shared" ref="I24" si="8">PRODUCT(E24:H24)</f>
        <v>2.8614999999999999</v>
      </c>
      <c r="J24" s="69">
        <f t="shared" ref="J24" si="9">+D24*I24</f>
        <v>2.8614999999999999</v>
      </c>
      <c r="K24" s="2"/>
      <c r="M24" s="52"/>
    </row>
    <row r="25" spans="1:13" outlineLevel="1">
      <c r="A25" s="3"/>
      <c r="B25" s="32" t="s">
        <v>196</v>
      </c>
      <c r="C25" s="54"/>
      <c r="D25" s="3">
        <v>2</v>
      </c>
      <c r="E25" s="66"/>
      <c r="F25" s="66"/>
      <c r="G25" s="66"/>
      <c r="H25" s="66"/>
      <c r="I25" s="67">
        <f>+SUM(J26:J27)</f>
        <v>6.1875</v>
      </c>
      <c r="J25" s="67">
        <f t="shared" si="7"/>
        <v>12.375</v>
      </c>
      <c r="K25" s="2" t="s">
        <v>204</v>
      </c>
      <c r="M25" s="52"/>
    </row>
    <row r="26" spans="1:13" outlineLevel="1">
      <c r="A26" s="2"/>
      <c r="B26" s="62" t="s">
        <v>311</v>
      </c>
      <c r="C26" s="55"/>
      <c r="D26" s="2">
        <v>1</v>
      </c>
      <c r="E26" s="70">
        <v>3</v>
      </c>
      <c r="F26" s="70">
        <f>1.07-0.3</f>
        <v>0.77</v>
      </c>
      <c r="G26" s="70"/>
      <c r="H26" s="70">
        <v>1</v>
      </c>
      <c r="I26" s="69">
        <f>PRODUCT(E26:H26)</f>
        <v>2.31</v>
      </c>
      <c r="J26" s="69">
        <f t="shared" si="7"/>
        <v>2.31</v>
      </c>
      <c r="K26" s="2"/>
      <c r="M26" s="52"/>
    </row>
    <row r="27" spans="1:13" outlineLevel="1">
      <c r="A27" s="3"/>
      <c r="B27" s="53" t="s">
        <v>314</v>
      </c>
      <c r="C27" s="56"/>
      <c r="D27" s="51">
        <v>1</v>
      </c>
      <c r="E27" s="69">
        <v>5.17</v>
      </c>
      <c r="F27" s="69">
        <f>1.05-0.3</f>
        <v>0.75</v>
      </c>
      <c r="G27" s="70"/>
      <c r="H27" s="70">
        <v>1</v>
      </c>
      <c r="I27" s="69">
        <f t="shared" ref="I27" si="10">PRODUCT(E27:H27)</f>
        <v>3.8774999999999999</v>
      </c>
      <c r="J27" s="69">
        <f t="shared" ref="J27" si="11">I27*D27</f>
        <v>3.8774999999999999</v>
      </c>
      <c r="K27" s="2"/>
      <c r="M27" s="52"/>
    </row>
    <row r="28" spans="1:13">
      <c r="A28" s="58">
        <v>2</v>
      </c>
      <c r="B28" s="59" t="s">
        <v>173</v>
      </c>
      <c r="C28" s="60"/>
      <c r="D28" s="58">
        <v>8</v>
      </c>
      <c r="E28" s="68"/>
      <c r="F28" s="68"/>
      <c r="G28" s="68"/>
      <c r="H28" s="68"/>
      <c r="I28" s="68">
        <f>+I9</f>
        <v>202.47900000000001</v>
      </c>
      <c r="J28" s="68">
        <f>+D28*I28</f>
        <v>1619.8320000000001</v>
      </c>
      <c r="K28" s="61"/>
      <c r="M28" s="52"/>
    </row>
    <row r="29" spans="1:13">
      <c r="A29" s="58">
        <v>2</v>
      </c>
      <c r="B29" s="59" t="s">
        <v>174</v>
      </c>
      <c r="C29" s="60"/>
      <c r="D29" s="58">
        <v>1</v>
      </c>
      <c r="E29" s="68"/>
      <c r="F29" s="68"/>
      <c r="G29" s="68"/>
      <c r="H29" s="68"/>
      <c r="I29" s="68">
        <f>+I9</f>
        <v>202.47900000000001</v>
      </c>
      <c r="J29" s="68">
        <f>+D29*I29</f>
        <v>202.47900000000001</v>
      </c>
      <c r="K29" s="61"/>
      <c r="M29" s="52"/>
    </row>
    <row r="30" spans="1:13">
      <c r="A30" s="58">
        <v>2</v>
      </c>
      <c r="B30" s="59" t="s">
        <v>175</v>
      </c>
      <c r="C30" s="60"/>
      <c r="D30" s="58">
        <v>3</v>
      </c>
      <c r="E30" s="68"/>
      <c r="F30" s="68"/>
      <c r="G30" s="68"/>
      <c r="H30" s="68"/>
      <c r="I30" s="68">
        <f>+I9</f>
        <v>202.47900000000001</v>
      </c>
      <c r="J30" s="68">
        <f>+D30*I30</f>
        <v>607.43700000000001</v>
      </c>
      <c r="K30" s="61"/>
      <c r="M30" s="52"/>
    </row>
    <row r="31" spans="1:13">
      <c r="A31" s="58">
        <v>2</v>
      </c>
      <c r="B31" s="59" t="s">
        <v>176</v>
      </c>
      <c r="C31" s="60"/>
      <c r="D31" s="58">
        <v>1</v>
      </c>
      <c r="E31" s="68"/>
      <c r="F31" s="68"/>
      <c r="G31" s="68"/>
      <c r="H31" s="68"/>
      <c r="I31" s="68">
        <f>+I9</f>
        <v>202.47900000000001</v>
      </c>
      <c r="J31" s="68">
        <f>+D31*I31</f>
        <v>202.47900000000001</v>
      </c>
      <c r="K31" s="61"/>
      <c r="M31" s="52"/>
    </row>
    <row r="32" spans="1:13">
      <c r="A32" s="58">
        <v>2</v>
      </c>
      <c r="B32" s="59" t="s">
        <v>279</v>
      </c>
      <c r="C32" s="60"/>
      <c r="D32" s="58"/>
      <c r="E32" s="68"/>
      <c r="F32" s="68"/>
      <c r="G32" s="68"/>
      <c r="H32" s="68"/>
      <c r="I32" s="68"/>
      <c r="J32" s="68">
        <f>+D32*I32</f>
        <v>0</v>
      </c>
      <c r="K32" s="61"/>
      <c r="M32" s="52"/>
    </row>
    <row r="33" spans="1:13">
      <c r="A33" s="58"/>
      <c r="B33" s="59" t="s">
        <v>280</v>
      </c>
      <c r="C33" s="60"/>
      <c r="D33" s="58">
        <v>1</v>
      </c>
      <c r="E33" s="68"/>
      <c r="F33" s="68"/>
      <c r="G33" s="68"/>
      <c r="H33" s="68"/>
      <c r="I33" s="68"/>
      <c r="J33" s="68"/>
      <c r="K33" s="61"/>
      <c r="M33" s="52"/>
    </row>
  </sheetData>
  <autoFilter ref="A5:K33" xr:uid="{00000000-0009-0000-0000-000002000000}"/>
  <mergeCells count="10">
    <mergeCell ref="A2:K2"/>
    <mergeCell ref="A6:A7"/>
    <mergeCell ref="B6:B7"/>
    <mergeCell ref="C6:C7"/>
    <mergeCell ref="D6:D7"/>
    <mergeCell ref="E6:G6"/>
    <mergeCell ref="H6:H7"/>
    <mergeCell ref="I6:I7"/>
    <mergeCell ref="J6:J7"/>
    <mergeCell ref="K6:K7"/>
  </mergeCells>
  <conditionalFormatting sqref="A6:K6 A7:I7 K7">
    <cfRule type="cellIs" dxfId="3" priority="1" operator="lessThan">
      <formula>0</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A222B-B67E-4BB5-9A3E-CCDC4A1654A2}">
  <sheetPr>
    <tabColor theme="0" tint="-0.14999847407452621"/>
  </sheetPr>
  <dimension ref="A2:O1048455"/>
  <sheetViews>
    <sheetView zoomScaleNormal="100" workbookViewId="0">
      <pane xSplit="3" ySplit="7" topLeftCell="D8" activePane="bottomRight" state="frozen"/>
      <selection activeCell="I17" sqref="I17"/>
      <selection pane="topRight" activeCell="I17" sqref="I17"/>
      <selection pane="bottomLeft" activeCell="I17" sqref="I17"/>
      <selection pane="bottomRight" activeCell="E25" sqref="E25"/>
    </sheetView>
  </sheetViews>
  <sheetFormatPr defaultRowHeight="15"/>
  <cols>
    <col min="1" max="1" width="6.28515625" style="1" customWidth="1"/>
    <col min="2" max="2" width="58" style="1" customWidth="1"/>
    <col min="3" max="3" width="9.140625" style="57"/>
    <col min="4" max="4" width="9.140625" style="1" customWidth="1"/>
    <col min="5" max="5" width="10.42578125" style="71" customWidth="1"/>
    <col min="6" max="8" width="9.140625" style="71" customWidth="1"/>
    <col min="9" max="9" width="13" style="71" customWidth="1"/>
    <col min="10" max="10" width="11.140625" style="71" customWidth="1"/>
    <col min="11" max="11" width="15" style="1" customWidth="1"/>
    <col min="12" max="12" width="9.140625" style="1"/>
    <col min="13" max="13" width="13.7109375" style="1" customWidth="1"/>
    <col min="14" max="14" width="44.5703125" style="1" customWidth="1"/>
    <col min="15" max="16384" width="9.140625" style="1"/>
  </cols>
  <sheetData>
    <row r="2" spans="1:15">
      <c r="A2" s="178" t="s">
        <v>205</v>
      </c>
      <c r="B2" s="178"/>
      <c r="C2" s="178"/>
      <c r="D2" s="178"/>
      <c r="E2" s="178"/>
      <c r="F2" s="178"/>
      <c r="G2" s="178"/>
      <c r="H2" s="178"/>
      <c r="I2" s="178"/>
      <c r="J2" s="178"/>
      <c r="K2" s="178"/>
    </row>
    <row r="6" spans="1:15" ht="15.75" customHeight="1">
      <c r="A6" s="179" t="s">
        <v>0</v>
      </c>
      <c r="B6" s="179" t="s">
        <v>1</v>
      </c>
      <c r="C6" s="179" t="s">
        <v>2</v>
      </c>
      <c r="D6" s="179" t="s">
        <v>3</v>
      </c>
      <c r="E6" s="181" t="s">
        <v>4</v>
      </c>
      <c r="F6" s="181"/>
      <c r="G6" s="181"/>
      <c r="H6" s="182" t="s">
        <v>5</v>
      </c>
      <c r="I6" s="181" t="s">
        <v>93</v>
      </c>
      <c r="J6" s="185" t="s">
        <v>6</v>
      </c>
      <c r="K6" s="179" t="s">
        <v>7</v>
      </c>
    </row>
    <row r="7" spans="1:15" ht="36.75" customHeight="1">
      <c r="A7" s="180"/>
      <c r="B7" s="180"/>
      <c r="C7" s="180"/>
      <c r="D7" s="180"/>
      <c r="E7" s="158" t="s">
        <v>8</v>
      </c>
      <c r="F7" s="158" t="s">
        <v>9</v>
      </c>
      <c r="G7" s="158" t="s">
        <v>10</v>
      </c>
      <c r="H7" s="183"/>
      <c r="I7" s="184"/>
      <c r="J7" s="186"/>
      <c r="K7" s="180"/>
    </row>
    <row r="8" spans="1:15" ht="31.5">
      <c r="A8" s="3" t="s">
        <v>19</v>
      </c>
      <c r="B8" s="159" t="s">
        <v>269</v>
      </c>
      <c r="C8" s="54" t="s">
        <v>12</v>
      </c>
      <c r="D8" s="3"/>
      <c r="E8" s="66"/>
      <c r="F8" s="66"/>
      <c r="G8" s="66"/>
      <c r="H8" s="66"/>
      <c r="I8" s="67"/>
      <c r="J8" s="67"/>
      <c r="K8" s="2"/>
      <c r="M8" s="52"/>
      <c r="N8" s="1" t="s">
        <v>178</v>
      </c>
      <c r="O8" s="1">
        <f>2.65+0.05-0.035-0.08+0.03</f>
        <v>2.6149999999999993</v>
      </c>
    </row>
    <row r="9" spans="1:15">
      <c r="A9" s="58">
        <v>1</v>
      </c>
      <c r="B9" s="59" t="s">
        <v>318</v>
      </c>
      <c r="C9" s="60"/>
      <c r="D9" s="58">
        <v>1</v>
      </c>
      <c r="E9" s="68"/>
      <c r="F9" s="68"/>
      <c r="G9" s="68"/>
      <c r="H9" s="68"/>
      <c r="I9" s="68">
        <f>+SUM(J10:J32)</f>
        <v>1605.84</v>
      </c>
      <c r="J9" s="68">
        <f t="shared" ref="J9" si="0">I9*D9</f>
        <v>1605.84</v>
      </c>
      <c r="K9" s="61"/>
      <c r="M9" s="52"/>
    </row>
    <row r="10" spans="1:15">
      <c r="A10" s="2"/>
      <c r="B10" s="62" t="s">
        <v>319</v>
      </c>
      <c r="C10" s="56"/>
      <c r="D10" s="2">
        <v>2</v>
      </c>
      <c r="E10" s="70">
        <f>7.2+6.36</f>
        <v>13.56</v>
      </c>
      <c r="F10" s="70"/>
      <c r="G10" s="70">
        <f>3-0.18</f>
        <v>2.82</v>
      </c>
      <c r="H10" s="70">
        <v>1</v>
      </c>
      <c r="I10" s="69">
        <f>PRODUCT(E10:H10)</f>
        <v>38.239199999999997</v>
      </c>
      <c r="J10" s="69">
        <f t="shared" ref="J10" si="1">I10*D10</f>
        <v>76.478399999999993</v>
      </c>
      <c r="K10" s="2"/>
    </row>
    <row r="11" spans="1:15">
      <c r="A11" s="2"/>
      <c r="B11" s="53" t="s">
        <v>13</v>
      </c>
      <c r="C11" s="56"/>
      <c r="D11" s="51">
        <v>2</v>
      </c>
      <c r="E11" s="69">
        <v>1.64</v>
      </c>
      <c r="F11" s="69"/>
      <c r="G11" s="69">
        <v>2.2000000000000002</v>
      </c>
      <c r="H11" s="69">
        <v>-1</v>
      </c>
      <c r="I11" s="69">
        <f t="shared" ref="I11:I34" si="2">PRODUCT(E11:H11)</f>
        <v>-3.6080000000000001</v>
      </c>
      <c r="J11" s="69">
        <f t="shared" ref="J11:J34" si="3">I11*D11</f>
        <v>-7.2160000000000002</v>
      </c>
      <c r="K11" s="2"/>
    </row>
    <row r="12" spans="1:15">
      <c r="A12" s="2"/>
      <c r="B12" s="62" t="s">
        <v>320</v>
      </c>
      <c r="C12" s="55"/>
      <c r="D12" s="2">
        <v>1</v>
      </c>
      <c r="E12" s="69">
        <f>(6600+1150+7590+2950)/1000</f>
        <v>18.29</v>
      </c>
      <c r="F12" s="70"/>
      <c r="G12" s="70">
        <f>3-0.18</f>
        <v>2.82</v>
      </c>
      <c r="H12" s="70">
        <v>1</v>
      </c>
      <c r="I12" s="69">
        <f t="shared" si="2"/>
        <v>51.577799999999996</v>
      </c>
      <c r="J12" s="69">
        <f t="shared" si="3"/>
        <v>51.577799999999996</v>
      </c>
      <c r="K12" s="2"/>
      <c r="M12" s="52"/>
    </row>
    <row r="13" spans="1:15">
      <c r="A13" s="2"/>
      <c r="B13" s="53" t="s">
        <v>13</v>
      </c>
      <c r="C13" s="56"/>
      <c r="D13" s="51">
        <v>1</v>
      </c>
      <c r="E13" s="69">
        <v>1.53</v>
      </c>
      <c r="F13" s="69"/>
      <c r="G13" s="69">
        <v>2.2000000000000002</v>
      </c>
      <c r="H13" s="69">
        <v>-1</v>
      </c>
      <c r="I13" s="69">
        <f t="shared" si="2"/>
        <v>-3.3660000000000005</v>
      </c>
      <c r="J13" s="69">
        <f t="shared" si="3"/>
        <v>-3.3660000000000005</v>
      </c>
      <c r="K13" s="2"/>
      <c r="M13" s="52"/>
    </row>
    <row r="14" spans="1:15">
      <c r="A14" s="2"/>
      <c r="B14" s="53" t="s">
        <v>321</v>
      </c>
      <c r="C14" s="56"/>
      <c r="D14" s="51">
        <v>2</v>
      </c>
      <c r="E14" s="69">
        <f>(1500+1500+10475+1630+1630+10450+4430+7425+5990+300+500+2700+500+350+200+200+10570+3025+2800+2800+7750)/1000</f>
        <v>76.724999999999994</v>
      </c>
      <c r="F14" s="69"/>
      <c r="G14" s="70">
        <f>3-0.18</f>
        <v>2.82</v>
      </c>
      <c r="H14" s="69">
        <v>1</v>
      </c>
      <c r="I14" s="69">
        <f t="shared" si="2"/>
        <v>216.36449999999996</v>
      </c>
      <c r="J14" s="69">
        <f t="shared" si="3"/>
        <v>432.72899999999993</v>
      </c>
      <c r="K14" s="2"/>
      <c r="M14" s="52"/>
    </row>
    <row r="15" spans="1:15">
      <c r="A15" s="2"/>
      <c r="B15" s="62" t="s">
        <v>13</v>
      </c>
      <c r="C15" s="55"/>
      <c r="D15" s="2">
        <v>2</v>
      </c>
      <c r="E15" s="70">
        <v>1.33</v>
      </c>
      <c r="F15" s="70"/>
      <c r="G15" s="70">
        <v>2.2000000000000002</v>
      </c>
      <c r="H15" s="70">
        <v>-7</v>
      </c>
      <c r="I15" s="69">
        <f t="shared" si="2"/>
        <v>-20.482000000000003</v>
      </c>
      <c r="J15" s="69">
        <f t="shared" si="3"/>
        <v>-40.964000000000006</v>
      </c>
      <c r="K15" s="2"/>
      <c r="M15" s="52"/>
    </row>
    <row r="16" spans="1:15">
      <c r="A16" s="2"/>
      <c r="B16" s="53" t="s">
        <v>322</v>
      </c>
      <c r="C16" s="56"/>
      <c r="D16" s="51">
        <v>2</v>
      </c>
      <c r="E16" s="69">
        <f>(2750+1625+2600+2715+2800+4345+8150+8450+1775+3050+9270+11700+10570)/1000</f>
        <v>69.8</v>
      </c>
      <c r="F16" s="69"/>
      <c r="G16" s="70">
        <f>3-0.18</f>
        <v>2.82</v>
      </c>
      <c r="H16" s="69">
        <v>1</v>
      </c>
      <c r="I16" s="69">
        <f t="shared" si="2"/>
        <v>196.83599999999998</v>
      </c>
      <c r="J16" s="69">
        <f t="shared" si="3"/>
        <v>393.67199999999997</v>
      </c>
      <c r="K16" s="2"/>
      <c r="M16" s="52"/>
    </row>
    <row r="17" spans="1:13">
      <c r="A17" s="2"/>
      <c r="B17" s="62" t="s">
        <v>13</v>
      </c>
      <c r="C17" s="55"/>
      <c r="D17" s="2">
        <v>2</v>
      </c>
      <c r="E17" s="70">
        <v>1.53</v>
      </c>
      <c r="F17" s="70"/>
      <c r="G17" s="70">
        <v>2.2000000000000002</v>
      </c>
      <c r="H17" s="70">
        <v>-5</v>
      </c>
      <c r="I17" s="69">
        <f t="shared" si="2"/>
        <v>-16.830000000000002</v>
      </c>
      <c r="J17" s="69">
        <f t="shared" si="3"/>
        <v>-33.660000000000004</v>
      </c>
      <c r="K17" s="2"/>
      <c r="M17" s="52"/>
    </row>
    <row r="18" spans="1:13">
      <c r="A18" s="2"/>
      <c r="B18" s="53"/>
      <c r="C18" s="55"/>
      <c r="D18" s="2">
        <v>2</v>
      </c>
      <c r="E18" s="70">
        <v>0.8</v>
      </c>
      <c r="F18" s="70"/>
      <c r="G18" s="70">
        <v>2.2000000000000002</v>
      </c>
      <c r="H18" s="70">
        <v>-3</v>
      </c>
      <c r="I18" s="69">
        <f t="shared" si="2"/>
        <v>-5.2800000000000011</v>
      </c>
      <c r="J18" s="69">
        <f t="shared" si="3"/>
        <v>-10.560000000000002</v>
      </c>
      <c r="K18" s="2"/>
      <c r="M18" s="52"/>
    </row>
    <row r="19" spans="1:13">
      <c r="A19" s="2"/>
      <c r="B19" s="62"/>
      <c r="C19" s="55"/>
      <c r="D19" s="2">
        <v>2</v>
      </c>
      <c r="E19" s="70">
        <v>1.0449999999999999</v>
      </c>
      <c r="F19" s="70"/>
      <c r="G19" s="70">
        <v>2.2000000000000002</v>
      </c>
      <c r="H19" s="70">
        <v>-2</v>
      </c>
      <c r="I19" s="69">
        <f t="shared" si="2"/>
        <v>-4.5979999999999999</v>
      </c>
      <c r="J19" s="69">
        <f t="shared" si="3"/>
        <v>-9.1959999999999997</v>
      </c>
      <c r="K19" s="2"/>
      <c r="M19" s="52"/>
    </row>
    <row r="20" spans="1:13">
      <c r="A20" s="2"/>
      <c r="B20" s="53" t="s">
        <v>323</v>
      </c>
      <c r="C20" s="55"/>
      <c r="D20" s="2">
        <v>1</v>
      </c>
      <c r="E20" s="70">
        <f>(7660+1350)/1000</f>
        <v>9.01</v>
      </c>
      <c r="F20" s="70"/>
      <c r="G20" s="70">
        <f>3-0.18</f>
        <v>2.82</v>
      </c>
      <c r="H20" s="70">
        <v>1</v>
      </c>
      <c r="I20" s="69">
        <f t="shared" si="2"/>
        <v>25.408199999999997</v>
      </c>
      <c r="J20" s="69">
        <f t="shared" si="3"/>
        <v>25.408199999999997</v>
      </c>
      <c r="K20" s="2"/>
      <c r="M20" s="52"/>
    </row>
    <row r="21" spans="1:13">
      <c r="A21" s="2"/>
      <c r="B21" s="62" t="s">
        <v>324</v>
      </c>
      <c r="C21" s="55"/>
      <c r="D21" s="2">
        <v>1</v>
      </c>
      <c r="E21" s="70">
        <f>15.8*2+0.15*8</f>
        <v>32.800000000000004</v>
      </c>
      <c r="F21" s="70"/>
      <c r="G21" s="70">
        <f>3-0.18</f>
        <v>2.82</v>
      </c>
      <c r="H21" s="70">
        <v>1</v>
      </c>
      <c r="I21" s="69">
        <f t="shared" si="2"/>
        <v>92.496000000000009</v>
      </c>
      <c r="J21" s="69">
        <f t="shared" si="3"/>
        <v>92.496000000000009</v>
      </c>
      <c r="K21" s="2"/>
      <c r="M21" s="52"/>
    </row>
    <row r="22" spans="1:13" ht="15.75" customHeight="1">
      <c r="A22" s="2"/>
      <c r="B22" s="62" t="s">
        <v>325</v>
      </c>
      <c r="C22" s="55"/>
      <c r="D22" s="2">
        <v>1</v>
      </c>
      <c r="E22" s="70">
        <f>(10470+56206+2000+1024+2990)/1000*2</f>
        <v>145.38</v>
      </c>
      <c r="F22" s="70"/>
      <c r="G22" s="70">
        <f>3-0.18</f>
        <v>2.82</v>
      </c>
      <c r="H22" s="70">
        <v>1</v>
      </c>
      <c r="I22" s="69">
        <f t="shared" si="2"/>
        <v>409.97159999999997</v>
      </c>
      <c r="J22" s="69">
        <f t="shared" si="3"/>
        <v>409.97159999999997</v>
      </c>
      <c r="K22" s="2"/>
      <c r="M22" s="52"/>
    </row>
    <row r="23" spans="1:13" ht="15.75" customHeight="1">
      <c r="A23" s="2"/>
      <c r="B23" s="62" t="s">
        <v>332</v>
      </c>
      <c r="C23" s="55"/>
      <c r="D23" s="2">
        <v>2</v>
      </c>
      <c r="E23" s="70">
        <f>+(6.49+2.7)*2</f>
        <v>18.380000000000003</v>
      </c>
      <c r="F23" s="70"/>
      <c r="G23" s="70">
        <v>3</v>
      </c>
      <c r="H23" s="70">
        <v>1</v>
      </c>
      <c r="I23" s="69">
        <f t="shared" ref="I23:I26" si="4">PRODUCT(E23:H23)</f>
        <v>55.140000000000008</v>
      </c>
      <c r="J23" s="69">
        <f t="shared" ref="J23:J26" si="5">I23*D23</f>
        <v>110.28000000000002</v>
      </c>
      <c r="K23" s="2"/>
      <c r="M23" s="52"/>
    </row>
    <row r="24" spans="1:13" ht="15.75" customHeight="1">
      <c r="A24" s="2"/>
      <c r="B24" s="62" t="s">
        <v>13</v>
      </c>
      <c r="C24" s="55"/>
      <c r="D24" s="2">
        <v>2</v>
      </c>
      <c r="E24" s="70">
        <v>1.33</v>
      </c>
      <c r="F24" s="70"/>
      <c r="G24" s="70">
        <v>2.2000000000000002</v>
      </c>
      <c r="H24" s="70">
        <v>-1</v>
      </c>
      <c r="I24" s="69">
        <f t="shared" si="4"/>
        <v>-2.9260000000000006</v>
      </c>
      <c r="J24" s="69">
        <f t="shared" si="5"/>
        <v>-5.8520000000000012</v>
      </c>
      <c r="K24" s="2"/>
      <c r="M24" s="52"/>
    </row>
    <row r="25" spans="1:13" ht="15.75" customHeight="1">
      <c r="A25" s="2"/>
      <c r="B25" s="62" t="s">
        <v>333</v>
      </c>
      <c r="C25" s="55"/>
      <c r="D25" s="2">
        <v>2</v>
      </c>
      <c r="E25" s="70"/>
      <c r="F25" s="70"/>
      <c r="G25" s="70">
        <v>1.18</v>
      </c>
      <c r="H25" s="70">
        <v>-1</v>
      </c>
      <c r="I25" s="69">
        <f t="shared" si="4"/>
        <v>-1.18</v>
      </c>
      <c r="J25" s="69">
        <f t="shared" si="5"/>
        <v>-2.36</v>
      </c>
      <c r="K25" s="2"/>
      <c r="M25" s="52"/>
    </row>
    <row r="26" spans="1:13" ht="15.75" customHeight="1">
      <c r="A26" s="2"/>
      <c r="B26" s="62" t="s">
        <v>334</v>
      </c>
      <c r="C26" s="55"/>
      <c r="D26" s="2">
        <v>2</v>
      </c>
      <c r="E26" s="70">
        <f>3.2+2.03</f>
        <v>5.23</v>
      </c>
      <c r="F26" s="70"/>
      <c r="G26" s="70">
        <v>1.25</v>
      </c>
      <c r="H26" s="70">
        <v>1</v>
      </c>
      <c r="I26" s="69">
        <f t="shared" si="4"/>
        <v>6.5375000000000005</v>
      </c>
      <c r="J26" s="69">
        <f t="shared" si="5"/>
        <v>13.075000000000001</v>
      </c>
      <c r="K26" s="2"/>
      <c r="M26" s="52"/>
    </row>
    <row r="27" spans="1:13" ht="15.75" customHeight="1">
      <c r="A27" s="2"/>
      <c r="B27" s="62" t="s">
        <v>335</v>
      </c>
      <c r="C27" s="55"/>
      <c r="D27" s="2">
        <v>2</v>
      </c>
      <c r="E27" s="70">
        <v>1.147</v>
      </c>
      <c r="F27" s="70"/>
      <c r="G27" s="70">
        <f>1.25+1.25+0.2</f>
        <v>2.7</v>
      </c>
      <c r="H27" s="70">
        <v>1</v>
      </c>
      <c r="I27" s="69">
        <f t="shared" ref="I27" si="6">PRODUCT(E27:H27)</f>
        <v>3.0969000000000002</v>
      </c>
      <c r="J27" s="69">
        <f t="shared" ref="J27" si="7">I27*D27</f>
        <v>6.1938000000000004</v>
      </c>
      <c r="K27" s="2"/>
      <c r="M27" s="52"/>
    </row>
    <row r="28" spans="1:13" ht="15.75" customHeight="1">
      <c r="A28" s="2"/>
      <c r="B28" s="62" t="s">
        <v>337</v>
      </c>
      <c r="C28" s="55"/>
      <c r="D28" s="2">
        <v>2</v>
      </c>
      <c r="E28" s="70">
        <f>+(5.775+2.8)*2</f>
        <v>17.149999999999999</v>
      </c>
      <c r="F28" s="70"/>
      <c r="G28" s="70">
        <v>2.82</v>
      </c>
      <c r="H28" s="70">
        <v>1</v>
      </c>
      <c r="I28" s="69">
        <f t="shared" ref="I28:I32" si="8">PRODUCT(E28:H28)</f>
        <v>48.362999999999992</v>
      </c>
      <c r="J28" s="69">
        <f t="shared" ref="J28:J32" si="9">I28*D28</f>
        <v>96.725999999999985</v>
      </c>
      <c r="K28" s="2"/>
      <c r="M28" s="52"/>
    </row>
    <row r="29" spans="1:13" ht="15.75" customHeight="1">
      <c r="A29" s="2"/>
      <c r="B29" s="62" t="s">
        <v>13</v>
      </c>
      <c r="C29" s="55"/>
      <c r="D29" s="2">
        <v>2</v>
      </c>
      <c r="E29" s="70">
        <v>1.53</v>
      </c>
      <c r="F29" s="70"/>
      <c r="G29" s="70">
        <v>2.2000000000000002</v>
      </c>
      <c r="H29" s="70">
        <v>-1</v>
      </c>
      <c r="I29" s="69">
        <f t="shared" si="8"/>
        <v>-3.3660000000000005</v>
      </c>
      <c r="J29" s="69">
        <f t="shared" si="9"/>
        <v>-6.7320000000000011</v>
      </c>
      <c r="K29" s="2"/>
      <c r="M29" s="52"/>
    </row>
    <row r="30" spans="1:13" ht="15.75" customHeight="1">
      <c r="A30" s="2"/>
      <c r="B30" s="62" t="s">
        <v>333</v>
      </c>
      <c r="C30" s="55"/>
      <c r="D30" s="2">
        <v>2</v>
      </c>
      <c r="E30" s="70"/>
      <c r="F30" s="70"/>
      <c r="G30" s="70">
        <v>1.18</v>
      </c>
      <c r="H30" s="70">
        <v>-1</v>
      </c>
      <c r="I30" s="69">
        <f t="shared" si="8"/>
        <v>-1.18</v>
      </c>
      <c r="J30" s="69">
        <f t="shared" si="9"/>
        <v>-2.36</v>
      </c>
      <c r="K30" s="2"/>
      <c r="M30" s="52"/>
    </row>
    <row r="31" spans="1:13" ht="15.75" customHeight="1">
      <c r="A31" s="2"/>
      <c r="B31" s="62" t="s">
        <v>334</v>
      </c>
      <c r="C31" s="55"/>
      <c r="D31" s="2">
        <v>2</v>
      </c>
      <c r="E31" s="70">
        <f>3.2+2.03</f>
        <v>5.23</v>
      </c>
      <c r="F31" s="70"/>
      <c r="G31" s="70">
        <v>1.25</v>
      </c>
      <c r="H31" s="70">
        <v>1</v>
      </c>
      <c r="I31" s="69">
        <f t="shared" si="8"/>
        <v>6.5375000000000005</v>
      </c>
      <c r="J31" s="69">
        <f t="shared" si="9"/>
        <v>13.075000000000001</v>
      </c>
      <c r="K31" s="2"/>
      <c r="M31" s="52"/>
    </row>
    <row r="32" spans="1:13" ht="15.75" customHeight="1">
      <c r="A32" s="2"/>
      <c r="B32" s="62" t="s">
        <v>335</v>
      </c>
      <c r="C32" s="55"/>
      <c r="D32" s="2">
        <v>2</v>
      </c>
      <c r="E32" s="70">
        <v>1.147</v>
      </c>
      <c r="F32" s="70"/>
      <c r="G32" s="70">
        <f>1.25+1.25+0.3</f>
        <v>2.8</v>
      </c>
      <c r="H32" s="70">
        <v>1</v>
      </c>
      <c r="I32" s="69">
        <f t="shared" si="8"/>
        <v>3.2115999999999998</v>
      </c>
      <c r="J32" s="69">
        <f t="shared" si="9"/>
        <v>6.4231999999999996</v>
      </c>
      <c r="K32" s="2"/>
      <c r="M32" s="52"/>
    </row>
    <row r="33" spans="1:13">
      <c r="A33" s="58">
        <v>2</v>
      </c>
      <c r="B33" s="59" t="s">
        <v>326</v>
      </c>
      <c r="C33" s="60"/>
      <c r="D33" s="58">
        <v>1</v>
      </c>
      <c r="E33" s="68"/>
      <c r="F33" s="68"/>
      <c r="G33" s="68"/>
      <c r="H33" s="68"/>
      <c r="I33" s="68">
        <f>+SUM(J34:J61)</f>
        <v>1451.1152000000004</v>
      </c>
      <c r="J33" s="68">
        <f t="shared" si="3"/>
        <v>1451.1152000000004</v>
      </c>
      <c r="K33" s="61"/>
      <c r="M33" s="52"/>
    </row>
    <row r="34" spans="1:13">
      <c r="A34" s="2"/>
      <c r="B34" s="62" t="s">
        <v>319</v>
      </c>
      <c r="C34" s="55"/>
      <c r="D34" s="2">
        <v>1</v>
      </c>
      <c r="E34" s="70">
        <f>(1100+9760)/1000</f>
        <v>10.86</v>
      </c>
      <c r="F34" s="70"/>
      <c r="G34" s="70">
        <f>3-0.18</f>
        <v>2.82</v>
      </c>
      <c r="H34" s="70">
        <v>1</v>
      </c>
      <c r="I34" s="69">
        <f t="shared" si="2"/>
        <v>30.625199999999996</v>
      </c>
      <c r="J34" s="69">
        <f t="shared" si="3"/>
        <v>30.625199999999996</v>
      </c>
      <c r="K34" s="2"/>
      <c r="M34" s="52"/>
    </row>
    <row r="35" spans="1:13">
      <c r="A35" s="2"/>
      <c r="B35" s="62" t="s">
        <v>13</v>
      </c>
      <c r="C35" s="55"/>
      <c r="D35" s="2">
        <v>1</v>
      </c>
      <c r="E35" s="70">
        <f>1.53+0.92</f>
        <v>2.4500000000000002</v>
      </c>
      <c r="F35" s="70"/>
      <c r="G35" s="70">
        <v>2.2000000000000002</v>
      </c>
      <c r="H35" s="70">
        <v>-1</v>
      </c>
      <c r="I35" s="69">
        <f t="shared" ref="I35:I46" si="10">PRODUCT(E35:H35)</f>
        <v>-5.3900000000000006</v>
      </c>
      <c r="J35" s="69">
        <f t="shared" ref="J35:J46" si="11">I35*D35</f>
        <v>-5.3900000000000006</v>
      </c>
      <c r="K35" s="2"/>
      <c r="M35" s="52"/>
    </row>
    <row r="36" spans="1:13">
      <c r="A36" s="2"/>
      <c r="B36" s="62" t="s">
        <v>327</v>
      </c>
      <c r="C36" s="55"/>
      <c r="D36" s="2">
        <v>1</v>
      </c>
      <c r="E36" s="70">
        <f>(2550+7460+350)/1000</f>
        <v>10.36</v>
      </c>
      <c r="F36" s="70"/>
      <c r="G36" s="70">
        <f>3-0.18</f>
        <v>2.82</v>
      </c>
      <c r="H36" s="70">
        <v>1</v>
      </c>
      <c r="I36" s="69">
        <f t="shared" si="10"/>
        <v>29.215199999999996</v>
      </c>
      <c r="J36" s="69">
        <f t="shared" si="11"/>
        <v>29.215199999999996</v>
      </c>
      <c r="K36" s="2"/>
      <c r="M36" s="52"/>
    </row>
    <row r="37" spans="1:13">
      <c r="A37" s="2"/>
      <c r="B37" s="62"/>
      <c r="C37" s="55"/>
      <c r="D37" s="2">
        <v>1</v>
      </c>
      <c r="E37" s="70">
        <v>1.53</v>
      </c>
      <c r="F37" s="70"/>
      <c r="G37" s="70">
        <v>2.2000000000000002</v>
      </c>
      <c r="H37" s="70">
        <v>-1</v>
      </c>
      <c r="I37" s="69">
        <f t="shared" si="10"/>
        <v>-3.3660000000000005</v>
      </c>
      <c r="J37" s="69">
        <f t="shared" si="11"/>
        <v>-3.3660000000000005</v>
      </c>
      <c r="K37" s="2"/>
      <c r="M37" s="52"/>
    </row>
    <row r="38" spans="1:13">
      <c r="A38" s="2"/>
      <c r="B38" s="62" t="s">
        <v>328</v>
      </c>
      <c r="C38" s="55"/>
      <c r="D38" s="2">
        <v>1</v>
      </c>
      <c r="E38" s="70">
        <f>(6600+1150+7590+1350+7660)/1000</f>
        <v>24.35</v>
      </c>
      <c r="F38" s="70"/>
      <c r="G38" s="70">
        <v>3</v>
      </c>
      <c r="H38" s="70">
        <v>1</v>
      </c>
      <c r="I38" s="69">
        <f t="shared" si="10"/>
        <v>73.050000000000011</v>
      </c>
      <c r="J38" s="69">
        <f t="shared" si="11"/>
        <v>73.050000000000011</v>
      </c>
      <c r="K38" s="2"/>
      <c r="M38" s="52"/>
    </row>
    <row r="39" spans="1:13">
      <c r="A39" s="2"/>
      <c r="B39" s="62" t="s">
        <v>329</v>
      </c>
      <c r="C39" s="55"/>
      <c r="D39" s="2">
        <v>2</v>
      </c>
      <c r="E39" s="70">
        <f>(3530+630+2700+700+1420+700+4700+10120+5000+10420+350+500+2700+500+1950+10420)/1000</f>
        <v>56.34</v>
      </c>
      <c r="F39" s="70"/>
      <c r="G39" s="70">
        <f>3-0.18</f>
        <v>2.82</v>
      </c>
      <c r="H39" s="70">
        <v>1</v>
      </c>
      <c r="I39" s="69">
        <f t="shared" si="10"/>
        <v>158.87880000000001</v>
      </c>
      <c r="J39" s="69">
        <f t="shared" si="11"/>
        <v>317.75760000000002</v>
      </c>
      <c r="K39" s="2"/>
      <c r="M39" s="52"/>
    </row>
    <row r="40" spans="1:13">
      <c r="A40" s="2"/>
      <c r="B40" s="62" t="s">
        <v>13</v>
      </c>
      <c r="C40" s="55"/>
      <c r="D40" s="2">
        <v>2</v>
      </c>
      <c r="E40" s="70">
        <v>1.33</v>
      </c>
      <c r="F40" s="70"/>
      <c r="G40" s="70">
        <v>2.2000000000000002</v>
      </c>
      <c r="H40" s="70">
        <v>-6</v>
      </c>
      <c r="I40" s="69">
        <f t="shared" si="10"/>
        <v>-17.556000000000004</v>
      </c>
      <c r="J40" s="69">
        <f t="shared" si="11"/>
        <v>-35.112000000000009</v>
      </c>
      <c r="K40" s="2"/>
      <c r="M40" s="52"/>
    </row>
    <row r="41" spans="1:13">
      <c r="A41" s="2"/>
      <c r="B41" s="62"/>
      <c r="C41" s="55"/>
      <c r="D41" s="2">
        <v>2</v>
      </c>
      <c r="E41" s="70">
        <v>1.33</v>
      </c>
      <c r="F41" s="70"/>
      <c r="G41" s="70">
        <v>2.2000000000000002</v>
      </c>
      <c r="H41" s="70">
        <v>-1</v>
      </c>
      <c r="I41" s="69">
        <f t="shared" si="10"/>
        <v>-2.9260000000000006</v>
      </c>
      <c r="J41" s="69">
        <f t="shared" si="11"/>
        <v>-5.8520000000000012</v>
      </c>
      <c r="K41" s="2"/>
      <c r="M41" s="52"/>
    </row>
    <row r="42" spans="1:13">
      <c r="A42" s="2"/>
      <c r="B42" s="62" t="s">
        <v>330</v>
      </c>
      <c r="C42" s="55"/>
      <c r="D42" s="2">
        <v>2</v>
      </c>
      <c r="E42" s="70">
        <f>(2800+1315+850+1250+1950+1630+5400+1630+8150+2750+10570+3150+480+5450+5160+6250+3700+3200+10730+3050+1780+8450)/1000</f>
        <v>89.694999999999993</v>
      </c>
      <c r="F42" s="70"/>
      <c r="G42" s="70">
        <f>3-0.18</f>
        <v>2.82</v>
      </c>
      <c r="H42" s="70">
        <v>1</v>
      </c>
      <c r="I42" s="69">
        <f t="shared" si="10"/>
        <v>252.93989999999997</v>
      </c>
      <c r="J42" s="69">
        <f t="shared" si="11"/>
        <v>505.87979999999993</v>
      </c>
      <c r="K42" s="2"/>
      <c r="M42" s="52"/>
    </row>
    <row r="43" spans="1:13">
      <c r="A43" s="2"/>
      <c r="B43" s="62" t="s">
        <v>13</v>
      </c>
      <c r="C43" s="55"/>
      <c r="D43" s="2">
        <v>2</v>
      </c>
      <c r="E43" s="70">
        <v>1.53</v>
      </c>
      <c r="F43" s="70"/>
      <c r="G43" s="70">
        <v>2.2000000000000002</v>
      </c>
      <c r="H43" s="70">
        <v>-4</v>
      </c>
      <c r="I43" s="69">
        <f t="shared" si="10"/>
        <v>-13.464000000000002</v>
      </c>
      <c r="J43" s="69">
        <f t="shared" si="11"/>
        <v>-26.928000000000004</v>
      </c>
      <c r="K43" s="2"/>
      <c r="M43" s="52"/>
    </row>
    <row r="44" spans="1:13">
      <c r="A44" s="2"/>
      <c r="B44" s="62"/>
      <c r="C44" s="55"/>
      <c r="D44" s="2">
        <v>2</v>
      </c>
      <c r="E44" s="70">
        <v>0.8</v>
      </c>
      <c r="F44" s="70"/>
      <c r="G44" s="70">
        <v>2.2000000000000002</v>
      </c>
      <c r="H44" s="70">
        <v>-4</v>
      </c>
      <c r="I44" s="69">
        <f t="shared" si="10"/>
        <v>-7.0400000000000009</v>
      </c>
      <c r="J44" s="69">
        <f t="shared" si="11"/>
        <v>-14.080000000000002</v>
      </c>
      <c r="K44" s="2"/>
      <c r="M44" s="52"/>
    </row>
    <row r="45" spans="1:13">
      <c r="A45" s="2"/>
      <c r="B45" s="62"/>
      <c r="C45" s="55"/>
      <c r="D45" s="2">
        <v>2</v>
      </c>
      <c r="E45" s="70">
        <v>1.33</v>
      </c>
      <c r="F45" s="70"/>
      <c r="G45" s="70">
        <v>2.2000000000000002</v>
      </c>
      <c r="H45" s="70">
        <v>-4</v>
      </c>
      <c r="I45" s="69">
        <f t="shared" si="10"/>
        <v>-11.704000000000002</v>
      </c>
      <c r="J45" s="69">
        <f t="shared" si="11"/>
        <v>-23.408000000000005</v>
      </c>
      <c r="K45" s="2"/>
      <c r="M45" s="52"/>
    </row>
    <row r="46" spans="1:13">
      <c r="A46" s="2"/>
      <c r="B46" s="62"/>
      <c r="C46" s="55"/>
      <c r="D46" s="2">
        <v>2</v>
      </c>
      <c r="E46" s="70">
        <v>1.53</v>
      </c>
      <c r="F46" s="70"/>
      <c r="G46" s="70">
        <v>2.2000000000000002</v>
      </c>
      <c r="H46" s="70">
        <v>-1</v>
      </c>
      <c r="I46" s="69">
        <f t="shared" si="10"/>
        <v>-3.3660000000000005</v>
      </c>
      <c r="J46" s="69">
        <f t="shared" si="11"/>
        <v>-6.7320000000000011</v>
      </c>
      <c r="K46" s="2"/>
      <c r="M46" s="52"/>
    </row>
    <row r="47" spans="1:13">
      <c r="A47" s="2"/>
      <c r="B47" s="62" t="s">
        <v>331</v>
      </c>
      <c r="C47" s="55"/>
      <c r="D47" s="2">
        <v>1</v>
      </c>
      <c r="E47" s="70">
        <f>(36260+29060)/1000*2</f>
        <v>130.63999999999999</v>
      </c>
      <c r="F47" s="70"/>
      <c r="G47" s="70">
        <f>3-0.18</f>
        <v>2.82</v>
      </c>
      <c r="H47" s="70">
        <v>1</v>
      </c>
      <c r="I47" s="69">
        <f t="shared" ref="I47:I48" si="12">PRODUCT(E47:H47)</f>
        <v>368.40479999999997</v>
      </c>
      <c r="J47" s="69">
        <f t="shared" ref="J47:J48" si="13">I47*D47</f>
        <v>368.40479999999997</v>
      </c>
      <c r="K47" s="2"/>
      <c r="M47" s="52"/>
    </row>
    <row r="48" spans="1:13">
      <c r="A48" s="2"/>
      <c r="B48" s="62" t="s">
        <v>336</v>
      </c>
      <c r="C48" s="55"/>
      <c r="D48" s="2">
        <v>2</v>
      </c>
      <c r="E48" s="70">
        <f>+(5.49+2.7)*2</f>
        <v>16.380000000000003</v>
      </c>
      <c r="F48" s="70"/>
      <c r="G48" s="70">
        <f>3-0.18</f>
        <v>2.82</v>
      </c>
      <c r="H48" s="70">
        <v>1</v>
      </c>
      <c r="I48" s="69">
        <f t="shared" si="12"/>
        <v>46.191600000000001</v>
      </c>
      <c r="J48" s="69">
        <f t="shared" si="13"/>
        <v>92.383200000000002</v>
      </c>
      <c r="K48" s="2"/>
      <c r="M48" s="52"/>
    </row>
    <row r="49" spans="1:13">
      <c r="A49" s="2"/>
      <c r="B49" s="62" t="s">
        <v>13</v>
      </c>
      <c r="C49" s="55"/>
      <c r="D49" s="2">
        <v>2</v>
      </c>
      <c r="E49" s="70">
        <v>1.33</v>
      </c>
      <c r="F49" s="70"/>
      <c r="G49" s="70">
        <v>2.2000000000000002</v>
      </c>
      <c r="H49" s="70">
        <v>-1</v>
      </c>
      <c r="I49" s="69">
        <f t="shared" ref="I49:I55" si="14">PRODUCT(E49:H49)</f>
        <v>-2.9260000000000006</v>
      </c>
      <c r="J49" s="69">
        <f t="shared" ref="J49:J55" si="15">I49*D49</f>
        <v>-5.8520000000000012</v>
      </c>
      <c r="K49" s="2"/>
      <c r="M49" s="52"/>
    </row>
    <row r="50" spans="1:13">
      <c r="A50" s="2"/>
      <c r="B50" s="62" t="s">
        <v>333</v>
      </c>
      <c r="C50" s="55"/>
      <c r="D50" s="2">
        <v>2</v>
      </c>
      <c r="E50" s="70"/>
      <c r="F50" s="70"/>
      <c r="G50" s="70">
        <v>1.8</v>
      </c>
      <c r="H50" s="70">
        <v>-1</v>
      </c>
      <c r="I50" s="69">
        <f t="shared" si="14"/>
        <v>-1.8</v>
      </c>
      <c r="J50" s="69">
        <f t="shared" si="15"/>
        <v>-3.6</v>
      </c>
      <c r="K50" s="2"/>
      <c r="M50" s="52"/>
    </row>
    <row r="51" spans="1:13">
      <c r="A51" s="2"/>
      <c r="B51" s="62" t="s">
        <v>334</v>
      </c>
      <c r="C51" s="55"/>
      <c r="D51" s="2">
        <v>2</v>
      </c>
      <c r="E51" s="70">
        <f>(2434+2122+1516)/1000</f>
        <v>6.0720000000000001</v>
      </c>
      <c r="F51" s="70"/>
      <c r="G51" s="70">
        <v>1.25</v>
      </c>
      <c r="H51" s="70">
        <v>1</v>
      </c>
      <c r="I51" s="69">
        <f t="shared" si="14"/>
        <v>7.59</v>
      </c>
      <c r="J51" s="69">
        <f t="shared" si="15"/>
        <v>15.18</v>
      </c>
      <c r="K51" s="2"/>
      <c r="M51" s="52"/>
    </row>
    <row r="52" spans="1:13">
      <c r="A52" s="2"/>
      <c r="B52" s="62" t="s">
        <v>335</v>
      </c>
      <c r="C52" s="55"/>
      <c r="D52" s="2">
        <v>2</v>
      </c>
      <c r="E52" s="70">
        <v>1.139</v>
      </c>
      <c r="F52" s="70"/>
      <c r="G52" s="70">
        <v>1.25</v>
      </c>
      <c r="H52" s="70">
        <v>1</v>
      </c>
      <c r="I52" s="69">
        <f t="shared" si="14"/>
        <v>1.4237500000000001</v>
      </c>
      <c r="J52" s="69">
        <f t="shared" si="15"/>
        <v>2.8475000000000001</v>
      </c>
      <c r="K52" s="2"/>
      <c r="M52" s="52"/>
    </row>
    <row r="53" spans="1:13">
      <c r="A53" s="2"/>
      <c r="B53" s="62"/>
      <c r="C53" s="55"/>
      <c r="D53" s="2">
        <v>2</v>
      </c>
      <c r="E53" s="70">
        <v>2.63</v>
      </c>
      <c r="F53" s="70"/>
      <c r="G53" s="70">
        <f>1.25*2+0.2</f>
        <v>2.7</v>
      </c>
      <c r="H53" s="70">
        <v>1</v>
      </c>
      <c r="I53" s="69">
        <f t="shared" si="14"/>
        <v>7.101</v>
      </c>
      <c r="J53" s="69">
        <f t="shared" si="15"/>
        <v>14.202</v>
      </c>
      <c r="K53" s="2"/>
      <c r="M53" s="52"/>
    </row>
    <row r="54" spans="1:13">
      <c r="A54" s="2"/>
      <c r="B54" s="62"/>
      <c r="C54" s="55"/>
      <c r="D54" s="2">
        <v>2</v>
      </c>
      <c r="E54" s="70">
        <v>1.5489999999999999</v>
      </c>
      <c r="F54" s="70"/>
      <c r="G54" s="70">
        <f>1.25*2+0.2</f>
        <v>2.7</v>
      </c>
      <c r="H54" s="70">
        <v>1</v>
      </c>
      <c r="I54" s="69">
        <f t="shared" si="14"/>
        <v>4.1822999999999997</v>
      </c>
      <c r="J54" s="69">
        <f t="shared" si="15"/>
        <v>8.3645999999999994</v>
      </c>
      <c r="K54" s="2"/>
      <c r="M54" s="52"/>
    </row>
    <row r="55" spans="1:13">
      <c r="A55" s="2"/>
      <c r="B55" s="62" t="s">
        <v>338</v>
      </c>
      <c r="C55" s="55"/>
      <c r="D55" s="2">
        <v>2</v>
      </c>
      <c r="E55" s="70">
        <f>+(5.49+2.7)*2</f>
        <v>16.380000000000003</v>
      </c>
      <c r="F55" s="70"/>
      <c r="G55" s="70">
        <f>3-0.18</f>
        <v>2.82</v>
      </c>
      <c r="H55" s="70">
        <v>1</v>
      </c>
      <c r="I55" s="69">
        <f t="shared" si="14"/>
        <v>46.191600000000001</v>
      </c>
      <c r="J55" s="69">
        <f t="shared" si="15"/>
        <v>92.383200000000002</v>
      </c>
      <c r="K55" s="2"/>
      <c r="M55" s="52"/>
    </row>
    <row r="56" spans="1:13">
      <c r="A56" s="2"/>
      <c r="B56" s="62" t="s">
        <v>13</v>
      </c>
      <c r="C56" s="55"/>
      <c r="D56" s="2">
        <v>2</v>
      </c>
      <c r="E56" s="70">
        <v>1.33</v>
      </c>
      <c r="F56" s="70"/>
      <c r="G56" s="70">
        <v>2.2000000000000002</v>
      </c>
      <c r="H56" s="70">
        <v>-1</v>
      </c>
      <c r="I56" s="69">
        <f t="shared" ref="I56:I61" si="16">PRODUCT(E56:H56)</f>
        <v>-2.9260000000000006</v>
      </c>
      <c r="J56" s="69">
        <f t="shared" ref="J56:J62" si="17">I56*D56</f>
        <v>-5.8520000000000012</v>
      </c>
      <c r="K56" s="2"/>
      <c r="M56" s="52"/>
    </row>
    <row r="57" spans="1:13">
      <c r="A57" s="2"/>
      <c r="B57" s="62" t="s">
        <v>333</v>
      </c>
      <c r="C57" s="55"/>
      <c r="D57" s="2">
        <v>2</v>
      </c>
      <c r="E57" s="70"/>
      <c r="F57" s="70"/>
      <c r="G57" s="70">
        <v>1.8</v>
      </c>
      <c r="H57" s="70">
        <v>-1</v>
      </c>
      <c r="I57" s="69">
        <f t="shared" si="16"/>
        <v>-1.8</v>
      </c>
      <c r="J57" s="69">
        <f t="shared" si="17"/>
        <v>-3.6</v>
      </c>
      <c r="K57" s="2"/>
      <c r="M57" s="52"/>
    </row>
    <row r="58" spans="1:13">
      <c r="A58" s="2"/>
      <c r="B58" s="62" t="s">
        <v>334</v>
      </c>
      <c r="C58" s="55"/>
      <c r="D58" s="2">
        <v>2</v>
      </c>
      <c r="E58" s="70">
        <f>(2434+2122+1516)/1000</f>
        <v>6.0720000000000001</v>
      </c>
      <c r="F58" s="70"/>
      <c r="G58" s="70">
        <v>1.25</v>
      </c>
      <c r="H58" s="70">
        <v>1</v>
      </c>
      <c r="I58" s="69">
        <f t="shared" si="16"/>
        <v>7.59</v>
      </c>
      <c r="J58" s="69">
        <f t="shared" si="17"/>
        <v>15.18</v>
      </c>
      <c r="K58" s="2"/>
      <c r="M58" s="52"/>
    </row>
    <row r="59" spans="1:13">
      <c r="A59" s="2"/>
      <c r="B59" s="62" t="s">
        <v>335</v>
      </c>
      <c r="C59" s="55"/>
      <c r="D59" s="2">
        <v>2</v>
      </c>
      <c r="E59" s="70">
        <v>1.139</v>
      </c>
      <c r="F59" s="70"/>
      <c r="G59" s="70">
        <v>1.25</v>
      </c>
      <c r="H59" s="70">
        <v>1</v>
      </c>
      <c r="I59" s="69">
        <f t="shared" si="16"/>
        <v>1.4237500000000001</v>
      </c>
      <c r="J59" s="69">
        <f t="shared" si="17"/>
        <v>2.8475000000000001</v>
      </c>
      <c r="K59" s="2"/>
      <c r="M59" s="52"/>
    </row>
    <row r="60" spans="1:13">
      <c r="A60" s="2"/>
      <c r="B60" s="62"/>
      <c r="C60" s="55"/>
      <c r="D60" s="2">
        <v>2</v>
      </c>
      <c r="E60" s="70">
        <v>2.63</v>
      </c>
      <c r="F60" s="70"/>
      <c r="G60" s="70">
        <f>1.25*2+0.2</f>
        <v>2.7</v>
      </c>
      <c r="H60" s="70">
        <v>1</v>
      </c>
      <c r="I60" s="69">
        <f t="shared" si="16"/>
        <v>7.101</v>
      </c>
      <c r="J60" s="69">
        <f t="shared" si="17"/>
        <v>14.202</v>
      </c>
      <c r="K60" s="2"/>
      <c r="M60" s="52"/>
    </row>
    <row r="61" spans="1:13">
      <c r="A61" s="2"/>
      <c r="B61" s="62"/>
      <c r="C61" s="55"/>
      <c r="D61" s="2">
        <v>2</v>
      </c>
      <c r="E61" s="70">
        <v>1.5489999999999999</v>
      </c>
      <c r="F61" s="70"/>
      <c r="G61" s="70">
        <f>1.25*2+0.2</f>
        <v>2.7</v>
      </c>
      <c r="H61" s="70">
        <v>1</v>
      </c>
      <c r="I61" s="69">
        <f t="shared" si="16"/>
        <v>4.1822999999999997</v>
      </c>
      <c r="J61" s="69">
        <f t="shared" si="17"/>
        <v>8.3645999999999994</v>
      </c>
      <c r="K61" s="2"/>
      <c r="M61" s="52"/>
    </row>
    <row r="62" spans="1:13">
      <c r="A62" s="58">
        <v>3</v>
      </c>
      <c r="B62" s="59" t="s">
        <v>280</v>
      </c>
      <c r="C62" s="60"/>
      <c r="D62" s="58">
        <v>1</v>
      </c>
      <c r="E62" s="68"/>
      <c r="F62" s="68"/>
      <c r="G62" s="68"/>
      <c r="H62" s="68"/>
      <c r="I62" s="68">
        <f>+SUM(J63:J72)</f>
        <v>455.06300000000005</v>
      </c>
      <c r="J62" s="68">
        <f t="shared" si="17"/>
        <v>455.06300000000005</v>
      </c>
      <c r="K62" s="61"/>
      <c r="M62" s="52"/>
    </row>
    <row r="63" spans="1:13">
      <c r="A63" s="2"/>
      <c r="B63" s="62" t="s">
        <v>339</v>
      </c>
      <c r="C63" s="55"/>
      <c r="D63" s="2">
        <v>2</v>
      </c>
      <c r="E63" s="70">
        <f>+(7.34+2.7)*2</f>
        <v>20.079999999999998</v>
      </c>
      <c r="F63" s="70"/>
      <c r="G63" s="70">
        <f>6-0.6</f>
        <v>5.4</v>
      </c>
      <c r="H63" s="70">
        <v>1</v>
      </c>
      <c r="I63" s="69">
        <f t="shared" ref="I63:I66" si="18">PRODUCT(E63:H63)</f>
        <v>108.432</v>
      </c>
      <c r="J63" s="69">
        <f t="shared" ref="J63:J66" si="19">I63*D63</f>
        <v>216.864</v>
      </c>
      <c r="K63" s="2"/>
      <c r="M63" s="52"/>
    </row>
    <row r="64" spans="1:13">
      <c r="A64" s="2"/>
      <c r="B64" s="62" t="s">
        <v>106</v>
      </c>
      <c r="C64" s="55"/>
      <c r="D64" s="2">
        <v>2</v>
      </c>
      <c r="E64" s="70">
        <v>1.33</v>
      </c>
      <c r="F64" s="70"/>
      <c r="G64" s="70">
        <v>2.2000000000000002</v>
      </c>
      <c r="H64" s="70">
        <v>-2</v>
      </c>
      <c r="I64" s="69">
        <f t="shared" si="18"/>
        <v>-5.8520000000000012</v>
      </c>
      <c r="J64" s="69">
        <f t="shared" si="19"/>
        <v>-11.704000000000002</v>
      </c>
      <c r="K64" s="2"/>
      <c r="M64" s="52"/>
    </row>
    <row r="65" spans="1:13">
      <c r="A65" s="2"/>
      <c r="B65" s="62" t="s">
        <v>334</v>
      </c>
      <c r="C65" s="55"/>
      <c r="D65" s="2">
        <v>2</v>
      </c>
      <c r="E65" s="70">
        <f>(4768+3567)/1000</f>
        <v>8.3350000000000009</v>
      </c>
      <c r="F65" s="70"/>
      <c r="G65" s="70">
        <v>1.25</v>
      </c>
      <c r="H65" s="70">
        <v>-1</v>
      </c>
      <c r="I65" s="69">
        <f t="shared" si="18"/>
        <v>-10.418750000000001</v>
      </c>
      <c r="J65" s="69">
        <f t="shared" si="19"/>
        <v>-20.837500000000002</v>
      </c>
      <c r="K65" s="2"/>
      <c r="M65" s="52"/>
    </row>
    <row r="66" spans="1:13">
      <c r="A66" s="2"/>
      <c r="B66" s="62" t="s">
        <v>335</v>
      </c>
      <c r="C66" s="55"/>
      <c r="D66" s="2">
        <v>2</v>
      </c>
      <c r="E66" s="70">
        <f>1.27+2.03</f>
        <v>3.3</v>
      </c>
      <c r="F66" s="70"/>
      <c r="G66" s="70">
        <f>1.25</f>
        <v>1.25</v>
      </c>
      <c r="H66" s="70">
        <v>1</v>
      </c>
      <c r="I66" s="69">
        <f t="shared" si="18"/>
        <v>4.125</v>
      </c>
      <c r="J66" s="69">
        <f t="shared" si="19"/>
        <v>8.25</v>
      </c>
      <c r="K66" s="2"/>
      <c r="M66" s="52"/>
    </row>
    <row r="67" spans="1:13">
      <c r="A67" s="2"/>
      <c r="B67" s="62" t="s">
        <v>337</v>
      </c>
      <c r="C67" s="55"/>
      <c r="D67" s="2">
        <v>2</v>
      </c>
      <c r="E67" s="70">
        <f>+(7.34+2.7)*2</f>
        <v>20.079999999999998</v>
      </c>
      <c r="F67" s="70"/>
      <c r="G67" s="70">
        <f>6-0.6</f>
        <v>5.4</v>
      </c>
      <c r="H67" s="70">
        <v>1</v>
      </c>
      <c r="I67" s="69">
        <f t="shared" ref="I67:I70" si="20">PRODUCT(E67:H67)</f>
        <v>108.432</v>
      </c>
      <c r="J67" s="69">
        <f t="shared" ref="J67:J70" si="21">I67*D67</f>
        <v>216.864</v>
      </c>
      <c r="K67" s="2"/>
      <c r="M67" s="52"/>
    </row>
    <row r="68" spans="1:13">
      <c r="A68" s="2"/>
      <c r="B68" s="62" t="s">
        <v>106</v>
      </c>
      <c r="C68" s="55"/>
      <c r="D68" s="2">
        <v>2</v>
      </c>
      <c r="E68" s="70">
        <v>1.33</v>
      </c>
      <c r="F68" s="70"/>
      <c r="G68" s="70">
        <v>2.2000000000000002</v>
      </c>
      <c r="H68" s="70">
        <v>-2</v>
      </c>
      <c r="I68" s="69">
        <f t="shared" si="20"/>
        <v>-5.8520000000000012</v>
      </c>
      <c r="J68" s="69">
        <f t="shared" si="21"/>
        <v>-11.704000000000002</v>
      </c>
      <c r="K68" s="2"/>
      <c r="M68" s="52"/>
    </row>
    <row r="69" spans="1:13">
      <c r="A69" s="2"/>
      <c r="B69" s="62" t="s">
        <v>334</v>
      </c>
      <c r="C69" s="55"/>
      <c r="D69" s="2">
        <v>2</v>
      </c>
      <c r="E69" s="70">
        <f>(4768+3567)/1000</f>
        <v>8.3350000000000009</v>
      </c>
      <c r="F69" s="70"/>
      <c r="G69" s="70">
        <v>1.25</v>
      </c>
      <c r="H69" s="70">
        <v>-1</v>
      </c>
      <c r="I69" s="69">
        <f t="shared" si="20"/>
        <v>-10.418750000000001</v>
      </c>
      <c r="J69" s="69">
        <f t="shared" si="21"/>
        <v>-20.837500000000002</v>
      </c>
      <c r="K69" s="2"/>
      <c r="M69" s="52"/>
    </row>
    <row r="70" spans="1:13">
      <c r="A70" s="2"/>
      <c r="B70" s="62" t="s">
        <v>335</v>
      </c>
      <c r="C70" s="55"/>
      <c r="D70" s="2">
        <v>2</v>
      </c>
      <c r="E70" s="70">
        <f>1.27+2.03</f>
        <v>3.3</v>
      </c>
      <c r="F70" s="70"/>
      <c r="G70" s="70">
        <f>1.25</f>
        <v>1.25</v>
      </c>
      <c r="H70" s="70">
        <v>1</v>
      </c>
      <c r="I70" s="69">
        <f t="shared" si="20"/>
        <v>4.125</v>
      </c>
      <c r="J70" s="69">
        <f t="shared" si="21"/>
        <v>8.25</v>
      </c>
      <c r="K70" s="2"/>
      <c r="M70" s="52"/>
    </row>
    <row r="71" spans="1:13">
      <c r="A71" s="2"/>
      <c r="B71" s="62" t="s">
        <v>340</v>
      </c>
      <c r="C71" s="55"/>
      <c r="D71" s="2">
        <v>2</v>
      </c>
      <c r="E71" s="70">
        <f>+(1.32+1.2)*2</f>
        <v>5.04</v>
      </c>
      <c r="F71" s="70"/>
      <c r="G71" s="70">
        <f>6-0.2-1.5</f>
        <v>4.3</v>
      </c>
      <c r="H71" s="70">
        <v>1</v>
      </c>
      <c r="I71" s="69">
        <f t="shared" ref="I71:I78" si="22">PRODUCT(E71:H71)</f>
        <v>21.672000000000001</v>
      </c>
      <c r="J71" s="69">
        <f t="shared" ref="J71:J78" si="23">I71*D71</f>
        <v>43.344000000000001</v>
      </c>
      <c r="K71" s="2"/>
      <c r="M71" s="52"/>
    </row>
    <row r="72" spans="1:13">
      <c r="A72" s="2"/>
      <c r="B72" s="62"/>
      <c r="C72" s="55"/>
      <c r="D72" s="2">
        <v>2</v>
      </c>
      <c r="E72" s="70">
        <f>1.35+1.74</f>
        <v>3.09</v>
      </c>
      <c r="F72" s="70"/>
      <c r="G72" s="70">
        <f>6-0.2-1.5</f>
        <v>4.3</v>
      </c>
      <c r="H72" s="70">
        <v>1</v>
      </c>
      <c r="I72" s="69">
        <f t="shared" si="22"/>
        <v>13.286999999999999</v>
      </c>
      <c r="J72" s="69">
        <f t="shared" si="23"/>
        <v>26.573999999999998</v>
      </c>
      <c r="K72" s="2"/>
      <c r="M72" s="52"/>
    </row>
    <row r="73" spans="1:13">
      <c r="A73" s="58">
        <v>4</v>
      </c>
      <c r="B73" s="59" t="s">
        <v>343</v>
      </c>
      <c r="C73" s="60"/>
      <c r="D73" s="58">
        <v>19</v>
      </c>
      <c r="E73" s="68"/>
      <c r="F73" s="68"/>
      <c r="G73" s="68"/>
      <c r="H73" s="68"/>
      <c r="I73" s="68">
        <f>+SUM(J74:J89)</f>
        <v>349.7808</v>
      </c>
      <c r="J73" s="68">
        <f t="shared" si="23"/>
        <v>6645.8351999999995</v>
      </c>
      <c r="K73" s="61"/>
      <c r="M73" s="52"/>
    </row>
    <row r="74" spans="1:13">
      <c r="A74" s="2"/>
      <c r="B74" s="62" t="s">
        <v>341</v>
      </c>
      <c r="C74" s="55"/>
      <c r="D74" s="2">
        <v>2</v>
      </c>
      <c r="E74" s="70">
        <f>+(1.775+1.87)*2</f>
        <v>7.29</v>
      </c>
      <c r="F74" s="70"/>
      <c r="G74" s="70">
        <f>3.3-0.18</f>
        <v>3.1199999999999997</v>
      </c>
      <c r="H74" s="70">
        <v>1</v>
      </c>
      <c r="I74" s="69">
        <f t="shared" si="22"/>
        <v>22.744799999999998</v>
      </c>
      <c r="J74" s="69">
        <f t="shared" si="23"/>
        <v>45.489599999999996</v>
      </c>
      <c r="K74" s="2"/>
      <c r="M74" s="52"/>
    </row>
    <row r="75" spans="1:13">
      <c r="A75" s="2"/>
      <c r="B75" s="62"/>
      <c r="C75" s="55"/>
      <c r="D75" s="2">
        <v>2</v>
      </c>
      <c r="E75" s="70">
        <f>+(2.7+5.94)*2</f>
        <v>17.28</v>
      </c>
      <c r="F75" s="70"/>
      <c r="G75" s="70">
        <v>3.3</v>
      </c>
      <c r="H75" s="70">
        <v>1</v>
      </c>
      <c r="I75" s="69">
        <f t="shared" si="22"/>
        <v>57.024000000000001</v>
      </c>
      <c r="J75" s="69">
        <f t="shared" si="23"/>
        <v>114.048</v>
      </c>
      <c r="K75" s="2"/>
      <c r="M75" s="52"/>
    </row>
    <row r="76" spans="1:13">
      <c r="A76" s="2"/>
      <c r="B76" s="62" t="s">
        <v>13</v>
      </c>
      <c r="C76" s="55"/>
      <c r="D76" s="2">
        <v>2</v>
      </c>
      <c r="E76" s="70">
        <v>1.33</v>
      </c>
      <c r="F76" s="70"/>
      <c r="G76" s="70">
        <v>2.2000000000000002</v>
      </c>
      <c r="H76" s="70">
        <v>-3</v>
      </c>
      <c r="I76" s="69">
        <f t="shared" si="22"/>
        <v>-8.7780000000000022</v>
      </c>
      <c r="J76" s="69">
        <f t="shared" si="23"/>
        <v>-17.556000000000004</v>
      </c>
      <c r="K76" s="2"/>
      <c r="M76" s="52"/>
    </row>
    <row r="77" spans="1:13">
      <c r="A77" s="2"/>
      <c r="B77" s="62" t="s">
        <v>333</v>
      </c>
      <c r="C77" s="55"/>
      <c r="D77" s="2">
        <v>2</v>
      </c>
      <c r="E77" s="70"/>
      <c r="F77" s="70"/>
      <c r="G77" s="70">
        <f>1.07+0.2*2</f>
        <v>1.4700000000000002</v>
      </c>
      <c r="H77" s="70">
        <v>-1</v>
      </c>
      <c r="I77" s="69">
        <f t="shared" si="22"/>
        <v>-1.4700000000000002</v>
      </c>
      <c r="J77" s="69">
        <f t="shared" si="23"/>
        <v>-2.9400000000000004</v>
      </c>
      <c r="K77" s="2"/>
      <c r="M77" s="52"/>
    </row>
    <row r="78" spans="1:13">
      <c r="A78" s="2"/>
      <c r="B78" s="62"/>
      <c r="C78" s="55"/>
      <c r="D78" s="2">
        <v>2</v>
      </c>
      <c r="E78" s="70">
        <v>0.15</v>
      </c>
      <c r="F78" s="70"/>
      <c r="G78" s="70">
        <f>1.25*2+0.2</f>
        <v>2.7</v>
      </c>
      <c r="H78" s="70">
        <v>-1</v>
      </c>
      <c r="I78" s="69">
        <f t="shared" si="22"/>
        <v>-0.40500000000000003</v>
      </c>
      <c r="J78" s="69">
        <f t="shared" si="23"/>
        <v>-0.81</v>
      </c>
      <c r="K78" s="2"/>
      <c r="M78" s="52"/>
    </row>
    <row r="79" spans="1:13">
      <c r="A79" s="2"/>
      <c r="B79" s="62" t="s">
        <v>334</v>
      </c>
      <c r="C79" s="55"/>
      <c r="D79" s="2">
        <v>2</v>
      </c>
      <c r="E79" s="70">
        <f>+(2.723+2.693)</f>
        <v>5.4160000000000004</v>
      </c>
      <c r="F79" s="70"/>
      <c r="G79" s="70">
        <v>1.25</v>
      </c>
      <c r="H79" s="70">
        <v>1</v>
      </c>
      <c r="I79" s="69">
        <f t="shared" ref="I79:I86" si="24">PRODUCT(E79:H79)</f>
        <v>6.7700000000000005</v>
      </c>
      <c r="J79" s="69">
        <f t="shared" ref="J79:J86" si="25">I79*D79</f>
        <v>13.540000000000001</v>
      </c>
      <c r="K79" s="2"/>
      <c r="M79" s="52"/>
    </row>
    <row r="80" spans="1:13">
      <c r="A80" s="2"/>
      <c r="B80" s="62" t="s">
        <v>335</v>
      </c>
      <c r="C80" s="55"/>
      <c r="D80" s="2">
        <v>2</v>
      </c>
      <c r="E80" s="70">
        <v>1.4</v>
      </c>
      <c r="F80" s="70"/>
      <c r="G80" s="70">
        <f>1.25+0.2</f>
        <v>1.45</v>
      </c>
      <c r="H80" s="70">
        <v>1</v>
      </c>
      <c r="I80" s="69">
        <f t="shared" si="24"/>
        <v>2.0299999999999998</v>
      </c>
      <c r="J80" s="69">
        <f t="shared" si="25"/>
        <v>4.0599999999999996</v>
      </c>
      <c r="K80" s="2"/>
      <c r="M80" s="52"/>
    </row>
    <row r="81" spans="1:13">
      <c r="A81" s="2"/>
      <c r="B81" s="62" t="s">
        <v>342</v>
      </c>
      <c r="C81" s="55"/>
      <c r="D81" s="2">
        <v>2</v>
      </c>
      <c r="E81" s="70">
        <f>+(2.8+2.565)*2</f>
        <v>10.73</v>
      </c>
      <c r="F81" s="70"/>
      <c r="G81" s="70">
        <v>3.12</v>
      </c>
      <c r="H81" s="70">
        <v>1</v>
      </c>
      <c r="I81" s="69">
        <f t="shared" si="24"/>
        <v>33.477600000000002</v>
      </c>
      <c r="J81" s="69">
        <f t="shared" si="25"/>
        <v>66.955200000000005</v>
      </c>
      <c r="K81" s="2"/>
      <c r="M81" s="52"/>
    </row>
    <row r="82" spans="1:13">
      <c r="A82" s="2"/>
      <c r="B82" s="62"/>
      <c r="C82" s="55"/>
      <c r="D82" s="2">
        <v>2</v>
      </c>
      <c r="E82" s="70">
        <f>+(5.775+2.8)*2</f>
        <v>17.149999999999999</v>
      </c>
      <c r="F82" s="70"/>
      <c r="G82" s="70">
        <v>3.3</v>
      </c>
      <c r="H82" s="70">
        <v>1</v>
      </c>
      <c r="I82" s="69">
        <f t="shared" si="24"/>
        <v>56.594999999999992</v>
      </c>
      <c r="J82" s="69">
        <f t="shared" si="25"/>
        <v>113.18999999999998</v>
      </c>
      <c r="K82" s="2"/>
      <c r="M82" s="52"/>
    </row>
    <row r="83" spans="1:13">
      <c r="A83" s="2"/>
      <c r="B83" s="62" t="s">
        <v>13</v>
      </c>
      <c r="C83" s="55"/>
      <c r="D83" s="2">
        <v>2</v>
      </c>
      <c r="E83" s="70">
        <v>1.33</v>
      </c>
      <c r="F83" s="70"/>
      <c r="G83" s="70">
        <v>2.2000000000000002</v>
      </c>
      <c r="H83" s="70">
        <v>-1</v>
      </c>
      <c r="I83" s="69">
        <f t="shared" si="24"/>
        <v>-2.9260000000000006</v>
      </c>
      <c r="J83" s="69">
        <f t="shared" si="25"/>
        <v>-5.8520000000000012</v>
      </c>
      <c r="K83" s="2"/>
      <c r="M83" s="52"/>
    </row>
    <row r="84" spans="1:13">
      <c r="A84" s="2"/>
      <c r="B84" s="62"/>
      <c r="C84" s="55"/>
      <c r="D84" s="2">
        <v>2</v>
      </c>
      <c r="E84" s="70">
        <v>1.53</v>
      </c>
      <c r="F84" s="70"/>
      <c r="G84" s="70">
        <v>2.2000000000000002</v>
      </c>
      <c r="H84" s="70">
        <v>-1</v>
      </c>
      <c r="I84" s="69">
        <f t="shared" si="24"/>
        <v>-3.3660000000000005</v>
      </c>
      <c r="J84" s="69">
        <f t="shared" si="25"/>
        <v>-6.7320000000000011</v>
      </c>
      <c r="K84" s="2"/>
      <c r="M84" s="52"/>
    </row>
    <row r="85" spans="1:13">
      <c r="A85" s="2"/>
      <c r="B85" s="62" t="s">
        <v>333</v>
      </c>
      <c r="C85" s="55"/>
      <c r="D85" s="2">
        <v>2</v>
      </c>
      <c r="E85" s="70"/>
      <c r="F85" s="70"/>
      <c r="G85" s="70">
        <f>1.07+0.2*2</f>
        <v>1.4700000000000002</v>
      </c>
      <c r="H85" s="70">
        <v>-1</v>
      </c>
      <c r="I85" s="69">
        <f t="shared" si="24"/>
        <v>-1.4700000000000002</v>
      </c>
      <c r="J85" s="69">
        <f t="shared" si="25"/>
        <v>-2.9400000000000004</v>
      </c>
      <c r="K85" s="2"/>
      <c r="M85" s="52"/>
    </row>
    <row r="86" spans="1:13">
      <c r="A86" s="2"/>
      <c r="B86" s="62"/>
      <c r="C86" s="55"/>
      <c r="D86" s="2">
        <v>2</v>
      </c>
      <c r="E86" s="70">
        <v>0.15</v>
      </c>
      <c r="F86" s="70"/>
      <c r="G86" s="70">
        <f>1.25*2+0.3</f>
        <v>2.8</v>
      </c>
      <c r="H86" s="70">
        <v>-1</v>
      </c>
      <c r="I86" s="69">
        <f t="shared" si="24"/>
        <v>-0.42</v>
      </c>
      <c r="J86" s="69">
        <f t="shared" si="25"/>
        <v>-0.84</v>
      </c>
      <c r="K86" s="2"/>
      <c r="M86" s="52"/>
    </row>
    <row r="87" spans="1:13">
      <c r="A87" s="2"/>
      <c r="B87" s="62" t="s">
        <v>334</v>
      </c>
      <c r="C87" s="55"/>
      <c r="D87" s="2">
        <v>2</v>
      </c>
      <c r="E87" s="70">
        <f>+(2.723+2.693)</f>
        <v>5.4160000000000004</v>
      </c>
      <c r="F87" s="70"/>
      <c r="G87" s="70">
        <v>1.25</v>
      </c>
      <c r="H87" s="70">
        <v>1</v>
      </c>
      <c r="I87" s="69">
        <f t="shared" ref="I87:I88" si="26">PRODUCT(E87:H87)</f>
        <v>6.7700000000000005</v>
      </c>
      <c r="J87" s="69">
        <f t="shared" ref="J87:J88" si="27">I87*D87</f>
        <v>13.540000000000001</v>
      </c>
      <c r="K87" s="2"/>
      <c r="M87" s="52"/>
    </row>
    <row r="88" spans="1:13">
      <c r="A88" s="2"/>
      <c r="B88" s="62" t="s">
        <v>335</v>
      </c>
      <c r="C88" s="55"/>
      <c r="D88" s="2">
        <v>2</v>
      </c>
      <c r="E88" s="70">
        <v>1.4</v>
      </c>
      <c r="F88" s="70"/>
      <c r="G88" s="70">
        <f>1.25+0.3</f>
        <v>1.55</v>
      </c>
      <c r="H88" s="70">
        <v>1</v>
      </c>
      <c r="I88" s="69">
        <f t="shared" si="26"/>
        <v>2.17</v>
      </c>
      <c r="J88" s="69">
        <f t="shared" si="27"/>
        <v>4.34</v>
      </c>
      <c r="K88" s="2"/>
      <c r="M88" s="52"/>
    </row>
    <row r="89" spans="1:13">
      <c r="A89" s="2"/>
      <c r="B89" s="62" t="s">
        <v>340</v>
      </c>
      <c r="C89" s="55"/>
      <c r="D89" s="2">
        <v>2</v>
      </c>
      <c r="E89" s="70">
        <f>1.32*2+1.2</f>
        <v>3.84</v>
      </c>
      <c r="F89" s="70"/>
      <c r="G89" s="70">
        <f>3.3-0.2-1.5</f>
        <v>1.5999999999999996</v>
      </c>
      <c r="H89" s="70">
        <v>1</v>
      </c>
      <c r="I89" s="69">
        <f t="shared" ref="I89" si="28">PRODUCT(E89:H89)</f>
        <v>6.1439999999999984</v>
      </c>
      <c r="J89" s="69">
        <f t="shared" ref="J89:J90" si="29">I89*D89</f>
        <v>12.287999999999997</v>
      </c>
      <c r="K89" s="2"/>
      <c r="M89" s="52"/>
    </row>
    <row r="90" spans="1:13">
      <c r="A90" s="58">
        <v>5</v>
      </c>
      <c r="B90" s="59" t="s">
        <v>344</v>
      </c>
      <c r="C90" s="60"/>
      <c r="D90" s="58">
        <v>1</v>
      </c>
      <c r="E90" s="68"/>
      <c r="F90" s="68"/>
      <c r="G90" s="68"/>
      <c r="H90" s="68"/>
      <c r="I90" s="68">
        <f>+SUM(J91:J100)</f>
        <v>717.61800000000005</v>
      </c>
      <c r="J90" s="68">
        <f t="shared" si="29"/>
        <v>717.61800000000005</v>
      </c>
      <c r="K90" s="61"/>
      <c r="M90" s="52"/>
    </row>
    <row r="91" spans="1:13">
      <c r="A91" s="2"/>
      <c r="B91" s="62" t="s">
        <v>341</v>
      </c>
      <c r="C91" s="55"/>
      <c r="D91" s="2">
        <v>2</v>
      </c>
      <c r="E91" s="70">
        <f>+(2.7+8)*2</f>
        <v>21.4</v>
      </c>
      <c r="F91" s="70"/>
      <c r="G91" s="70">
        <v>3.8</v>
      </c>
      <c r="H91" s="70">
        <v>1</v>
      </c>
      <c r="I91" s="69">
        <f t="shared" ref="I91:I97" si="30">PRODUCT(E91:H91)</f>
        <v>81.319999999999993</v>
      </c>
      <c r="J91" s="69">
        <f t="shared" ref="J91:J97" si="31">I91*D91</f>
        <v>162.63999999999999</v>
      </c>
      <c r="K91" s="2"/>
      <c r="M91" s="52"/>
    </row>
    <row r="92" spans="1:13">
      <c r="A92" s="2"/>
      <c r="B92" s="62" t="s">
        <v>13</v>
      </c>
      <c r="C92" s="55"/>
      <c r="D92" s="2">
        <v>2</v>
      </c>
      <c r="E92" s="70">
        <v>1.33</v>
      </c>
      <c r="F92" s="70"/>
      <c r="G92" s="70">
        <v>2.2000000000000002</v>
      </c>
      <c r="H92" s="70">
        <v>-1</v>
      </c>
      <c r="I92" s="69">
        <f t="shared" si="30"/>
        <v>-2.9260000000000006</v>
      </c>
      <c r="J92" s="69">
        <f t="shared" si="31"/>
        <v>-5.8520000000000012</v>
      </c>
      <c r="K92" s="2"/>
      <c r="M92" s="52"/>
    </row>
    <row r="93" spans="1:13">
      <c r="A93" s="2"/>
      <c r="B93" s="62" t="s">
        <v>342</v>
      </c>
      <c r="C93" s="55"/>
      <c r="D93" s="2">
        <v>2</v>
      </c>
      <c r="E93" s="70">
        <f>(1200+975+1200+2800+8490)/1000</f>
        <v>14.664999999999999</v>
      </c>
      <c r="F93" s="70"/>
      <c r="G93" s="70">
        <v>3.8</v>
      </c>
      <c r="H93" s="70">
        <v>1</v>
      </c>
      <c r="I93" s="69">
        <f t="shared" si="30"/>
        <v>55.726999999999997</v>
      </c>
      <c r="J93" s="69">
        <f t="shared" si="31"/>
        <v>111.45399999999999</v>
      </c>
      <c r="K93" s="2"/>
      <c r="M93" s="52"/>
    </row>
    <row r="94" spans="1:13">
      <c r="A94" s="2"/>
      <c r="B94" s="62" t="s">
        <v>13</v>
      </c>
      <c r="C94" s="55"/>
      <c r="D94" s="2">
        <v>2</v>
      </c>
      <c r="E94" s="70">
        <v>1.33</v>
      </c>
      <c r="F94" s="70"/>
      <c r="G94" s="70">
        <v>2.2000000000000002</v>
      </c>
      <c r="H94" s="70">
        <v>-1</v>
      </c>
      <c r="I94" s="69">
        <f t="shared" ref="I94" si="32">PRODUCT(E94:H94)</f>
        <v>-2.9260000000000006</v>
      </c>
      <c r="J94" s="69">
        <f t="shared" ref="J94" si="33">I94*D94</f>
        <v>-5.8520000000000012</v>
      </c>
      <c r="K94" s="2"/>
      <c r="M94" s="52"/>
    </row>
    <row r="95" spans="1:13">
      <c r="A95" s="2"/>
      <c r="B95" s="62"/>
      <c r="C95" s="55"/>
      <c r="D95" s="2">
        <v>2</v>
      </c>
      <c r="E95" s="70">
        <f>+(2.75+8.97)*2</f>
        <v>23.44</v>
      </c>
      <c r="F95" s="70"/>
      <c r="G95" s="70">
        <v>4.8</v>
      </c>
      <c r="H95" s="70">
        <v>1</v>
      </c>
      <c r="I95" s="69">
        <f t="shared" si="30"/>
        <v>112.512</v>
      </c>
      <c r="J95" s="69">
        <f t="shared" si="31"/>
        <v>225.024</v>
      </c>
      <c r="K95" s="2"/>
      <c r="M95" s="52"/>
    </row>
    <row r="96" spans="1:13">
      <c r="A96" s="2"/>
      <c r="B96" s="62" t="s">
        <v>13</v>
      </c>
      <c r="C96" s="55"/>
      <c r="D96" s="2">
        <v>2</v>
      </c>
      <c r="E96" s="70">
        <v>1.33</v>
      </c>
      <c r="F96" s="70"/>
      <c r="G96" s="70">
        <v>2.2000000000000002</v>
      </c>
      <c r="H96" s="70">
        <v>-1</v>
      </c>
      <c r="I96" s="69">
        <f t="shared" si="30"/>
        <v>-2.9260000000000006</v>
      </c>
      <c r="J96" s="69">
        <f t="shared" si="31"/>
        <v>-5.8520000000000012</v>
      </c>
      <c r="K96" s="2"/>
      <c r="M96" s="52"/>
    </row>
    <row r="97" spans="1:13">
      <c r="A97" s="2"/>
      <c r="B97" s="62"/>
      <c r="C97" s="55"/>
      <c r="D97" s="2">
        <v>2</v>
      </c>
      <c r="E97" s="70">
        <f>+(4+5.2)*2</f>
        <v>18.399999999999999</v>
      </c>
      <c r="F97" s="70"/>
      <c r="G97" s="70">
        <v>3.8</v>
      </c>
      <c r="H97" s="70">
        <v>1</v>
      </c>
      <c r="I97" s="69">
        <f t="shared" si="30"/>
        <v>69.919999999999987</v>
      </c>
      <c r="J97" s="69">
        <f t="shared" si="31"/>
        <v>139.83999999999997</v>
      </c>
      <c r="K97" s="2"/>
      <c r="M97" s="52"/>
    </row>
    <row r="98" spans="1:13">
      <c r="A98" s="2"/>
      <c r="B98" s="62"/>
      <c r="C98" s="55"/>
      <c r="D98" s="2">
        <v>2</v>
      </c>
      <c r="E98" s="70">
        <v>1.33</v>
      </c>
      <c r="F98" s="70"/>
      <c r="G98" s="70">
        <v>2.2000000000000002</v>
      </c>
      <c r="H98" s="70">
        <v>-1</v>
      </c>
      <c r="I98" s="69">
        <f t="shared" ref="I98" si="34">PRODUCT(E98:H98)</f>
        <v>-2.9260000000000006</v>
      </c>
      <c r="J98" s="69">
        <f t="shared" ref="J98" si="35">I98*D98</f>
        <v>-5.8520000000000012</v>
      </c>
      <c r="K98" s="2"/>
      <c r="M98" s="52"/>
    </row>
    <row r="99" spans="1:13">
      <c r="A99" s="2"/>
      <c r="B99" s="62"/>
      <c r="C99" s="55"/>
      <c r="D99" s="2">
        <v>2</v>
      </c>
      <c r="E99" s="70">
        <f>+(3.65+3.45)*2</f>
        <v>14.2</v>
      </c>
      <c r="F99" s="70"/>
      <c r="G99" s="70">
        <v>3.8</v>
      </c>
      <c r="H99" s="70">
        <v>1</v>
      </c>
      <c r="I99" s="69">
        <f t="shared" ref="I99:I100" si="36">PRODUCT(E99:H99)</f>
        <v>53.959999999999994</v>
      </c>
      <c r="J99" s="69">
        <f t="shared" ref="J99:J100" si="37">I99*D99</f>
        <v>107.91999999999999</v>
      </c>
      <c r="K99" s="2"/>
      <c r="M99" s="52"/>
    </row>
    <row r="100" spans="1:13">
      <c r="A100" s="2"/>
      <c r="B100" s="62"/>
      <c r="C100" s="55"/>
      <c r="D100" s="2">
        <v>2</v>
      </c>
      <c r="E100" s="70">
        <v>1.33</v>
      </c>
      <c r="F100" s="70"/>
      <c r="G100" s="70">
        <v>2.2000000000000002</v>
      </c>
      <c r="H100" s="70">
        <v>-1</v>
      </c>
      <c r="I100" s="69">
        <f t="shared" si="36"/>
        <v>-2.9260000000000006</v>
      </c>
      <c r="J100" s="69">
        <f t="shared" si="37"/>
        <v>-5.8520000000000012</v>
      </c>
      <c r="K100" s="2"/>
      <c r="M100" s="52"/>
    </row>
    <row r="1048455" spans="7:7">
      <c r="G1048455" s="70"/>
    </row>
  </sheetData>
  <autoFilter ref="A5:K100" xr:uid="{00000000-0009-0000-0000-000002000000}"/>
  <mergeCells count="10">
    <mergeCell ref="A2:K2"/>
    <mergeCell ref="A6:A7"/>
    <mergeCell ref="B6:B7"/>
    <mergeCell ref="C6:C7"/>
    <mergeCell ref="D6:D7"/>
    <mergeCell ref="E6:G6"/>
    <mergeCell ref="H6:H7"/>
    <mergeCell ref="I6:I7"/>
    <mergeCell ref="J6:J7"/>
    <mergeCell ref="K6:K7"/>
  </mergeCells>
  <conditionalFormatting sqref="A6:K6 A7:I7 K7">
    <cfRule type="cellIs" dxfId="2" priority="1" operator="lessThan">
      <formula>0</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188E5-D8BA-49E3-A6F0-F11C1205ED90}">
  <sheetPr>
    <tabColor theme="0" tint="-0.14999847407452621"/>
  </sheetPr>
  <dimension ref="A2:O1048351"/>
  <sheetViews>
    <sheetView zoomScaleNormal="100" workbookViewId="0">
      <pane xSplit="3" ySplit="7" topLeftCell="D8" activePane="bottomRight" state="frozen"/>
      <selection activeCell="I17" sqref="I17"/>
      <selection pane="topRight" activeCell="I17" sqref="I17"/>
      <selection pane="bottomLeft" activeCell="I17" sqref="I17"/>
      <selection pane="bottomRight" activeCell="B14" sqref="B14:B15"/>
    </sheetView>
  </sheetViews>
  <sheetFormatPr defaultRowHeight="15"/>
  <cols>
    <col min="1" max="1" width="6.28515625" style="1" customWidth="1"/>
    <col min="2" max="2" width="58" style="1" customWidth="1"/>
    <col min="3" max="3" width="9.140625" style="57"/>
    <col min="4" max="4" width="9.140625" style="1" customWidth="1"/>
    <col min="5" max="5" width="10.42578125" style="71" customWidth="1"/>
    <col min="6" max="8" width="9.140625" style="71" customWidth="1"/>
    <col min="9" max="9" width="13" style="71" customWidth="1"/>
    <col min="10" max="10" width="11.140625" style="71" customWidth="1"/>
    <col min="11" max="11" width="15" style="1" customWidth="1"/>
    <col min="12" max="12" width="9.140625" style="1"/>
    <col min="13" max="13" width="13.7109375" style="1" customWidth="1"/>
    <col min="14" max="14" width="44.5703125" style="1" customWidth="1"/>
    <col min="15" max="16384" width="9.140625" style="1"/>
  </cols>
  <sheetData>
    <row r="2" spans="1:15">
      <c r="A2" s="178" t="s">
        <v>205</v>
      </c>
      <c r="B2" s="178"/>
      <c r="C2" s="178"/>
      <c r="D2" s="178"/>
      <c r="E2" s="178"/>
      <c r="F2" s="178"/>
      <c r="G2" s="178"/>
      <c r="H2" s="178"/>
      <c r="I2" s="178"/>
      <c r="J2" s="178"/>
      <c r="K2" s="178"/>
    </row>
    <row r="6" spans="1:15" ht="15.75" customHeight="1">
      <c r="A6" s="179" t="s">
        <v>0</v>
      </c>
      <c r="B6" s="179" t="s">
        <v>1</v>
      </c>
      <c r="C6" s="179" t="s">
        <v>2</v>
      </c>
      <c r="D6" s="179" t="s">
        <v>3</v>
      </c>
      <c r="E6" s="181" t="s">
        <v>4</v>
      </c>
      <c r="F6" s="181"/>
      <c r="G6" s="181"/>
      <c r="H6" s="182" t="s">
        <v>5</v>
      </c>
      <c r="I6" s="181" t="s">
        <v>93</v>
      </c>
      <c r="J6" s="185" t="s">
        <v>6</v>
      </c>
      <c r="K6" s="179" t="s">
        <v>7</v>
      </c>
    </row>
    <row r="7" spans="1:15" ht="36.75" customHeight="1">
      <c r="A7" s="180"/>
      <c r="B7" s="180"/>
      <c r="C7" s="180"/>
      <c r="D7" s="180"/>
      <c r="E7" s="161" t="s">
        <v>8</v>
      </c>
      <c r="F7" s="161" t="s">
        <v>9</v>
      </c>
      <c r="G7" s="161" t="s">
        <v>10</v>
      </c>
      <c r="H7" s="183"/>
      <c r="I7" s="184"/>
      <c r="J7" s="186"/>
      <c r="K7" s="180"/>
    </row>
    <row r="8" spans="1:15" ht="15.75">
      <c r="A8" s="3" t="s">
        <v>19</v>
      </c>
      <c r="B8" s="159" t="s">
        <v>357</v>
      </c>
      <c r="C8" s="54" t="s">
        <v>12</v>
      </c>
      <c r="D8" s="3"/>
      <c r="E8" s="66"/>
      <c r="F8" s="66"/>
      <c r="G8" s="66"/>
      <c r="H8" s="66"/>
      <c r="I8" s="67"/>
      <c r="J8" s="67">
        <f>+J9+J30</f>
        <v>1861.4333000000001</v>
      </c>
      <c r="K8" s="2"/>
      <c r="M8" s="52"/>
      <c r="N8" s="1" t="s">
        <v>178</v>
      </c>
      <c r="O8" s="1">
        <f>2.65+0.05-0.035-0.08+0.03</f>
        <v>2.6149999999999993</v>
      </c>
    </row>
    <row r="9" spans="1:15">
      <c r="A9" s="58">
        <v>1</v>
      </c>
      <c r="B9" s="59" t="s">
        <v>348</v>
      </c>
      <c r="C9" s="60"/>
      <c r="D9" s="58">
        <v>2</v>
      </c>
      <c r="E9" s="68"/>
      <c r="F9" s="68"/>
      <c r="G9" s="68"/>
      <c r="H9" s="68"/>
      <c r="I9" s="68">
        <f>+SUM(J11:J29)</f>
        <v>470.42740000000003</v>
      </c>
      <c r="J9" s="68">
        <f t="shared" ref="J9:J13" si="0">I9*D9</f>
        <v>940.85480000000007</v>
      </c>
      <c r="K9" s="61"/>
      <c r="M9" s="52"/>
    </row>
    <row r="10" spans="1:15" s="164" customFormat="1">
      <c r="A10" s="142"/>
      <c r="B10" s="162" t="s">
        <v>349</v>
      </c>
      <c r="C10" s="163"/>
      <c r="D10" s="142"/>
      <c r="E10" s="67"/>
      <c r="F10" s="67"/>
      <c r="G10" s="67"/>
      <c r="H10" s="67"/>
      <c r="I10" s="67"/>
      <c r="J10" s="67"/>
      <c r="K10" s="51"/>
      <c r="M10" s="165"/>
    </row>
    <row r="11" spans="1:15">
      <c r="A11" s="2"/>
      <c r="B11" s="62" t="s">
        <v>350</v>
      </c>
      <c r="C11" s="56"/>
      <c r="D11" s="2">
        <v>1</v>
      </c>
      <c r="E11" s="70">
        <v>1.25</v>
      </c>
      <c r="F11" s="70"/>
      <c r="G11" s="70">
        <f>0.25+0.15</f>
        <v>0.4</v>
      </c>
      <c r="H11" s="70">
        <v>20</v>
      </c>
      <c r="I11" s="69">
        <f>PRODUCT(E11:H11)</f>
        <v>10</v>
      </c>
      <c r="J11" s="69">
        <f t="shared" si="0"/>
        <v>10</v>
      </c>
      <c r="K11" s="2"/>
    </row>
    <row r="12" spans="1:15">
      <c r="A12" s="2"/>
      <c r="B12" s="53" t="s">
        <v>351</v>
      </c>
      <c r="C12" s="56"/>
      <c r="D12" s="51">
        <v>1</v>
      </c>
      <c r="E12" s="69">
        <v>1.4</v>
      </c>
      <c r="F12" s="69"/>
      <c r="G12" s="69">
        <f>1.25*2+0.2</f>
        <v>2.7</v>
      </c>
      <c r="H12" s="69">
        <v>1</v>
      </c>
      <c r="I12" s="69">
        <f t="shared" ref="I12:I13" si="1">PRODUCT(E12:H12)</f>
        <v>3.78</v>
      </c>
      <c r="J12" s="69">
        <f t="shared" si="0"/>
        <v>3.78</v>
      </c>
      <c r="K12" s="2"/>
    </row>
    <row r="13" spans="1:15">
      <c r="A13" s="2"/>
      <c r="B13" s="53" t="s">
        <v>352</v>
      </c>
      <c r="C13" s="56"/>
      <c r="D13" s="51">
        <v>1</v>
      </c>
      <c r="E13" s="69">
        <v>2.34</v>
      </c>
      <c r="F13" s="69"/>
      <c r="G13" s="69">
        <v>1.25</v>
      </c>
      <c r="H13" s="69">
        <v>1</v>
      </c>
      <c r="I13" s="69">
        <f t="shared" si="1"/>
        <v>2.9249999999999998</v>
      </c>
      <c r="J13" s="69">
        <f t="shared" si="0"/>
        <v>2.9249999999999998</v>
      </c>
      <c r="K13" s="2"/>
      <c r="M13" s="52"/>
    </row>
    <row r="14" spans="1:15">
      <c r="D14" s="1">
        <v>1</v>
      </c>
      <c r="E14" s="71">
        <v>2.79</v>
      </c>
      <c r="G14" s="71">
        <f>1.25+0.2</f>
        <v>1.45</v>
      </c>
      <c r="H14" s="71">
        <v>1</v>
      </c>
      <c r="I14" s="69">
        <f t="shared" ref="I14" si="2">PRODUCT(E14:H14)</f>
        <v>4.0454999999999997</v>
      </c>
      <c r="J14" s="69">
        <f t="shared" ref="J14" si="3">I14*D14</f>
        <v>4.0454999999999997</v>
      </c>
      <c r="K14" s="2"/>
    </row>
    <row r="15" spans="1:15" s="4" customFormat="1">
      <c r="B15" s="4" t="s">
        <v>353</v>
      </c>
      <c r="C15" s="160"/>
      <c r="E15" s="166"/>
      <c r="F15" s="166"/>
      <c r="G15" s="166"/>
      <c r="H15" s="166"/>
      <c r="I15" s="166"/>
      <c r="J15" s="166"/>
      <c r="K15" s="2"/>
    </row>
    <row r="16" spans="1:15">
      <c r="A16" s="2"/>
      <c r="B16" s="62" t="s">
        <v>350</v>
      </c>
      <c r="C16" s="56"/>
      <c r="D16" s="2">
        <v>1</v>
      </c>
      <c r="E16" s="70">
        <v>1.25</v>
      </c>
      <c r="F16" s="70"/>
      <c r="G16" s="70">
        <f>0.25+0.15</f>
        <v>0.4</v>
      </c>
      <c r="H16" s="70">
        <v>20</v>
      </c>
      <c r="I16" s="69">
        <f>PRODUCT(E16:H16)</f>
        <v>10</v>
      </c>
      <c r="J16" s="69">
        <f t="shared" ref="J16:J18" si="4">I16*D16</f>
        <v>10</v>
      </c>
      <c r="K16" s="2"/>
    </row>
    <row r="17" spans="1:13">
      <c r="A17" s="2"/>
      <c r="B17" s="53" t="s">
        <v>351</v>
      </c>
      <c r="C17" s="56"/>
      <c r="D17" s="51">
        <v>1</v>
      </c>
      <c r="E17" s="69">
        <v>1.4</v>
      </c>
      <c r="F17" s="69"/>
      <c r="G17" s="69">
        <f>1.25*2+0.2</f>
        <v>2.7</v>
      </c>
      <c r="H17" s="69">
        <v>1</v>
      </c>
      <c r="I17" s="69">
        <f t="shared" ref="I17:I18" si="5">PRODUCT(E17:H17)</f>
        <v>3.78</v>
      </c>
      <c r="J17" s="69">
        <f t="shared" si="4"/>
        <v>3.78</v>
      </c>
      <c r="K17" s="2"/>
    </row>
    <row r="18" spans="1:13">
      <c r="A18" s="2"/>
      <c r="B18" s="53"/>
      <c r="C18" s="56"/>
      <c r="D18" s="51">
        <v>1</v>
      </c>
      <c r="E18" s="69">
        <v>1.81</v>
      </c>
      <c r="F18" s="69"/>
      <c r="G18" s="69">
        <f>+G17</f>
        <v>2.7</v>
      </c>
      <c r="H18" s="69">
        <v>1</v>
      </c>
      <c r="I18" s="69">
        <f t="shared" si="5"/>
        <v>4.8870000000000005</v>
      </c>
      <c r="J18" s="69">
        <f t="shared" si="4"/>
        <v>4.8870000000000005</v>
      </c>
      <c r="K18" s="2"/>
      <c r="M18" s="52"/>
    </row>
    <row r="19" spans="1:13">
      <c r="A19" s="2"/>
      <c r="B19" s="62" t="s">
        <v>352</v>
      </c>
      <c r="C19" s="56"/>
      <c r="D19" s="2">
        <v>1</v>
      </c>
      <c r="E19" s="70">
        <v>2.21</v>
      </c>
      <c r="F19" s="70"/>
      <c r="G19" s="70">
        <v>1.25</v>
      </c>
      <c r="H19" s="70">
        <v>1</v>
      </c>
      <c r="I19" s="69">
        <f t="shared" ref="I19:I29" si="6">PRODUCT(E19:H19)</f>
        <v>2.7625000000000002</v>
      </c>
      <c r="J19" s="69">
        <f t="shared" ref="J19:J30" si="7">I19*D19</f>
        <v>2.7625000000000002</v>
      </c>
      <c r="K19" s="2"/>
    </row>
    <row r="20" spans="1:13">
      <c r="A20" s="2"/>
      <c r="B20" s="62"/>
      <c r="C20" s="56"/>
      <c r="D20" s="2">
        <v>1</v>
      </c>
      <c r="E20" s="70">
        <v>2.88</v>
      </c>
      <c r="F20" s="70"/>
      <c r="G20" s="70">
        <f>1.25+0.2</f>
        <v>1.45</v>
      </c>
      <c r="H20" s="70">
        <v>1</v>
      </c>
      <c r="I20" s="69">
        <f t="shared" si="6"/>
        <v>4.1760000000000002</v>
      </c>
      <c r="J20" s="69">
        <f t="shared" si="7"/>
        <v>4.1760000000000002</v>
      </c>
      <c r="K20" s="2"/>
    </row>
    <row r="21" spans="1:13">
      <c r="A21" s="2"/>
      <c r="B21" s="32" t="s">
        <v>354</v>
      </c>
      <c r="C21" s="56"/>
      <c r="D21" s="2"/>
      <c r="E21" s="70"/>
      <c r="F21" s="70"/>
      <c r="G21" s="70"/>
      <c r="H21" s="70"/>
      <c r="I21" s="69">
        <f t="shared" si="6"/>
        <v>0</v>
      </c>
      <c r="J21" s="69">
        <f t="shared" si="7"/>
        <v>0</v>
      </c>
      <c r="K21" s="2"/>
    </row>
    <row r="22" spans="1:13">
      <c r="A22" s="2"/>
      <c r="B22" s="62" t="s">
        <v>350</v>
      </c>
      <c r="C22" s="56"/>
      <c r="D22" s="2">
        <v>1</v>
      </c>
      <c r="E22" s="70">
        <v>1.25</v>
      </c>
      <c r="F22" s="70"/>
      <c r="G22" s="70">
        <f>0.25+0.15</f>
        <v>0.4</v>
      </c>
      <c r="H22" s="70">
        <v>29</v>
      </c>
      <c r="I22" s="69">
        <f t="shared" si="6"/>
        <v>14.5</v>
      </c>
      <c r="J22" s="69">
        <f t="shared" si="7"/>
        <v>14.5</v>
      </c>
      <c r="K22" s="2"/>
    </row>
    <row r="23" spans="1:13">
      <c r="A23" s="2"/>
      <c r="B23" s="62" t="s">
        <v>351</v>
      </c>
      <c r="C23" s="56"/>
      <c r="D23" s="2">
        <v>1</v>
      </c>
      <c r="E23" s="70">
        <v>2.0299999999999998</v>
      </c>
      <c r="F23" s="70"/>
      <c r="G23" s="70">
        <v>1.25</v>
      </c>
      <c r="H23" s="70">
        <v>1</v>
      </c>
      <c r="I23" s="69">
        <f t="shared" si="6"/>
        <v>2.5374999999999996</v>
      </c>
      <c r="J23" s="69">
        <f t="shared" si="7"/>
        <v>2.5374999999999996</v>
      </c>
      <c r="K23" s="2"/>
    </row>
    <row r="24" spans="1:13">
      <c r="A24" s="2"/>
      <c r="B24" s="62"/>
      <c r="C24" s="56"/>
      <c r="D24" s="2">
        <v>1</v>
      </c>
      <c r="E24" s="70">
        <v>2.8380000000000001</v>
      </c>
      <c r="F24" s="70"/>
      <c r="G24" s="70">
        <f>1.25+0.3</f>
        <v>1.55</v>
      </c>
      <c r="H24" s="70">
        <v>1</v>
      </c>
      <c r="I24" s="69">
        <f t="shared" si="6"/>
        <v>4.3989000000000003</v>
      </c>
      <c r="J24" s="69">
        <f t="shared" si="7"/>
        <v>4.3989000000000003</v>
      </c>
      <c r="K24" s="2"/>
    </row>
    <row r="25" spans="1:13">
      <c r="A25" s="2"/>
      <c r="B25" s="62"/>
      <c r="C25" s="56"/>
      <c r="D25" s="2">
        <v>1</v>
      </c>
      <c r="E25" s="70">
        <v>1.25</v>
      </c>
      <c r="F25" s="70"/>
      <c r="G25" s="70">
        <f>+G18</f>
        <v>2.7</v>
      </c>
      <c r="H25" s="70">
        <v>1</v>
      </c>
      <c r="I25" s="69">
        <f t="shared" si="6"/>
        <v>3.375</v>
      </c>
      <c r="J25" s="69">
        <f t="shared" si="7"/>
        <v>3.375</v>
      </c>
      <c r="K25" s="2"/>
    </row>
    <row r="26" spans="1:13" s="4" customFormat="1" ht="14.25">
      <c r="A26" s="3"/>
      <c r="B26" s="32" t="s">
        <v>355</v>
      </c>
      <c r="C26" s="163"/>
      <c r="D26" s="3">
        <v>20</v>
      </c>
      <c r="E26" s="66"/>
      <c r="F26" s="66"/>
      <c r="G26" s="66"/>
      <c r="H26" s="66"/>
      <c r="I26" s="67"/>
      <c r="J26" s="67"/>
      <c r="K26" s="3"/>
    </row>
    <row r="27" spans="1:13">
      <c r="A27" s="2"/>
      <c r="B27" s="62"/>
      <c r="C27" s="56"/>
      <c r="D27" s="2">
        <v>20</v>
      </c>
      <c r="E27" s="70">
        <v>1.25</v>
      </c>
      <c r="F27" s="70"/>
      <c r="G27" s="69">
        <f>0.25+0.15</f>
        <v>0.4</v>
      </c>
      <c r="H27" s="70">
        <v>20</v>
      </c>
      <c r="I27" s="69">
        <f t="shared" si="6"/>
        <v>10</v>
      </c>
      <c r="J27" s="69">
        <f t="shared" si="7"/>
        <v>200</v>
      </c>
      <c r="K27" s="2"/>
    </row>
    <row r="28" spans="1:13">
      <c r="A28" s="2"/>
      <c r="B28" s="62"/>
      <c r="C28" s="56"/>
      <c r="D28" s="2">
        <v>20</v>
      </c>
      <c r="E28" s="70">
        <v>2.29</v>
      </c>
      <c r="F28" s="70"/>
      <c r="G28" s="70">
        <v>2.7</v>
      </c>
      <c r="H28" s="70">
        <v>1</v>
      </c>
      <c r="I28" s="69">
        <f t="shared" si="6"/>
        <v>6.1830000000000007</v>
      </c>
      <c r="J28" s="69">
        <f t="shared" si="7"/>
        <v>123.66000000000001</v>
      </c>
      <c r="K28" s="2"/>
    </row>
    <row r="29" spans="1:13">
      <c r="A29" s="2"/>
      <c r="B29" s="62"/>
      <c r="C29" s="56"/>
      <c r="D29" s="2">
        <v>20</v>
      </c>
      <c r="E29" s="70">
        <v>1.4</v>
      </c>
      <c r="F29" s="70"/>
      <c r="G29" s="70">
        <v>2.7</v>
      </c>
      <c r="H29" s="70">
        <v>1</v>
      </c>
      <c r="I29" s="69">
        <f t="shared" si="6"/>
        <v>3.78</v>
      </c>
      <c r="J29" s="69">
        <f t="shared" si="7"/>
        <v>75.599999999999994</v>
      </c>
      <c r="K29" s="2"/>
    </row>
    <row r="30" spans="1:13">
      <c r="A30" s="58">
        <v>1</v>
      </c>
      <c r="B30" s="59" t="s">
        <v>356</v>
      </c>
      <c r="C30" s="60"/>
      <c r="D30" s="58">
        <v>2</v>
      </c>
      <c r="E30" s="68"/>
      <c r="F30" s="68"/>
      <c r="G30" s="68"/>
      <c r="H30" s="68"/>
      <c r="I30" s="68">
        <f>+SUM(J32:J48)</f>
        <v>460.28924999999998</v>
      </c>
      <c r="J30" s="68">
        <f t="shared" si="7"/>
        <v>920.57849999999996</v>
      </c>
      <c r="K30" s="61"/>
      <c r="M30" s="52"/>
    </row>
    <row r="31" spans="1:13" s="198" customFormat="1">
      <c r="A31" s="193"/>
      <c r="B31" s="194" t="s">
        <v>349</v>
      </c>
      <c r="C31" s="195"/>
      <c r="D31" s="196"/>
      <c r="E31" s="197"/>
      <c r="F31" s="197"/>
      <c r="G31" s="197"/>
      <c r="H31" s="197"/>
      <c r="I31" s="197"/>
      <c r="J31" s="197"/>
      <c r="K31" s="193"/>
    </row>
    <row r="32" spans="1:13" s="198" customFormat="1">
      <c r="A32" s="193"/>
      <c r="B32" s="199" t="s">
        <v>350</v>
      </c>
      <c r="C32" s="200"/>
      <c r="D32" s="193">
        <v>1</v>
      </c>
      <c r="E32" s="201">
        <v>1.25</v>
      </c>
      <c r="F32" s="201"/>
      <c r="G32" s="201">
        <f>0.25+0.15</f>
        <v>0.4</v>
      </c>
      <c r="H32" s="201">
        <v>20</v>
      </c>
      <c r="I32" s="202">
        <f>PRODUCT(E32:H32)</f>
        <v>10</v>
      </c>
      <c r="J32" s="202">
        <f t="shared" ref="J32:J34" si="8">I32*D32</f>
        <v>10</v>
      </c>
      <c r="K32" s="193"/>
    </row>
    <row r="33" spans="1:11" s="198" customFormat="1">
      <c r="A33" s="193"/>
      <c r="B33" s="203" t="s">
        <v>351</v>
      </c>
      <c r="C33" s="200"/>
      <c r="D33" s="204">
        <v>1</v>
      </c>
      <c r="E33" s="202">
        <v>1.4</v>
      </c>
      <c r="F33" s="202"/>
      <c r="G33" s="202">
        <f>1.25*2+0.3</f>
        <v>2.8</v>
      </c>
      <c r="H33" s="202">
        <v>1</v>
      </c>
      <c r="I33" s="202">
        <f t="shared" ref="I33:I34" si="9">PRODUCT(E33:H33)</f>
        <v>3.9199999999999995</v>
      </c>
      <c r="J33" s="202">
        <f t="shared" si="8"/>
        <v>3.9199999999999995</v>
      </c>
      <c r="K33" s="193"/>
    </row>
    <row r="34" spans="1:11" s="198" customFormat="1">
      <c r="A34" s="193"/>
      <c r="B34" s="203" t="s">
        <v>352</v>
      </c>
      <c r="C34" s="200"/>
      <c r="D34" s="204">
        <v>1</v>
      </c>
      <c r="E34" s="202">
        <v>2.125</v>
      </c>
      <c r="F34" s="202"/>
      <c r="G34" s="202">
        <v>1.25</v>
      </c>
      <c r="H34" s="202">
        <v>1</v>
      </c>
      <c r="I34" s="202">
        <f t="shared" si="9"/>
        <v>2.65625</v>
      </c>
      <c r="J34" s="202">
        <f t="shared" si="8"/>
        <v>2.65625</v>
      </c>
      <c r="K34" s="193"/>
    </row>
    <row r="35" spans="1:11" s="198" customFormat="1">
      <c r="A35" s="193"/>
      <c r="B35" s="205" t="s">
        <v>353</v>
      </c>
      <c r="C35" s="206"/>
      <c r="D35" s="205"/>
      <c r="E35" s="207"/>
      <c r="F35" s="207"/>
      <c r="G35" s="207"/>
      <c r="H35" s="207"/>
      <c r="I35" s="207"/>
      <c r="J35" s="207"/>
      <c r="K35" s="193"/>
    </row>
    <row r="36" spans="1:11" s="198" customFormat="1">
      <c r="A36" s="193"/>
      <c r="B36" s="199" t="s">
        <v>350</v>
      </c>
      <c r="C36" s="200"/>
      <c r="D36" s="193">
        <v>1</v>
      </c>
      <c r="E36" s="201">
        <v>1.25</v>
      </c>
      <c r="F36" s="201"/>
      <c r="G36" s="201">
        <f>0.25+0.15</f>
        <v>0.4</v>
      </c>
      <c r="H36" s="201">
        <v>21</v>
      </c>
      <c r="I36" s="202">
        <f>PRODUCT(E36:H36)</f>
        <v>10.5</v>
      </c>
      <c r="J36" s="202">
        <f t="shared" ref="J36:J44" si="10">I36*D36</f>
        <v>10.5</v>
      </c>
      <c r="K36" s="193"/>
    </row>
    <row r="37" spans="1:11" s="198" customFormat="1">
      <c r="A37" s="193"/>
      <c r="B37" s="203" t="s">
        <v>351</v>
      </c>
      <c r="C37" s="200"/>
      <c r="D37" s="204">
        <v>1</v>
      </c>
      <c r="E37" s="202">
        <v>1.4</v>
      </c>
      <c r="F37" s="202"/>
      <c r="G37" s="202">
        <v>1.25</v>
      </c>
      <c r="H37" s="202">
        <v>1</v>
      </c>
      <c r="I37" s="202">
        <f t="shared" ref="I37:I44" si="11">PRODUCT(E37:H37)</f>
        <v>1.75</v>
      </c>
      <c r="J37" s="202">
        <f t="shared" si="10"/>
        <v>1.75</v>
      </c>
      <c r="K37" s="193"/>
    </row>
    <row r="38" spans="1:11" s="198" customFormat="1">
      <c r="A38" s="193"/>
      <c r="B38" s="203"/>
      <c r="C38" s="200"/>
      <c r="D38" s="204">
        <v>1</v>
      </c>
      <c r="E38" s="202">
        <v>2.15</v>
      </c>
      <c r="F38" s="202"/>
      <c r="G38" s="202">
        <f>1.25+0.3</f>
        <v>1.55</v>
      </c>
      <c r="H38" s="202">
        <v>1</v>
      </c>
      <c r="I38" s="202">
        <f t="shared" si="11"/>
        <v>3.3325</v>
      </c>
      <c r="J38" s="202">
        <f t="shared" si="10"/>
        <v>3.3325</v>
      </c>
      <c r="K38" s="193"/>
    </row>
    <row r="39" spans="1:11" s="198" customFormat="1">
      <c r="A39" s="193"/>
      <c r="B39" s="199" t="s">
        <v>352</v>
      </c>
      <c r="C39" s="200"/>
      <c r="D39" s="193">
        <v>1</v>
      </c>
      <c r="E39" s="201">
        <v>1.25</v>
      </c>
      <c r="F39" s="201"/>
      <c r="G39" s="201">
        <v>1.25</v>
      </c>
      <c r="H39" s="201">
        <v>1</v>
      </c>
      <c r="I39" s="202">
        <f t="shared" si="11"/>
        <v>1.5625</v>
      </c>
      <c r="J39" s="202">
        <f t="shared" si="10"/>
        <v>1.5625</v>
      </c>
      <c r="K39" s="193"/>
    </row>
    <row r="40" spans="1:11" s="198" customFormat="1">
      <c r="A40" s="193"/>
      <c r="B40" s="199"/>
      <c r="C40" s="200"/>
      <c r="D40" s="193">
        <v>1</v>
      </c>
      <c r="E40" s="201">
        <v>2.4</v>
      </c>
      <c r="F40" s="201"/>
      <c r="G40" s="201">
        <f>1.25+0.3</f>
        <v>1.55</v>
      </c>
      <c r="H40" s="201">
        <v>1</v>
      </c>
      <c r="I40" s="202">
        <f t="shared" si="11"/>
        <v>3.7199999999999998</v>
      </c>
      <c r="J40" s="202">
        <f t="shared" si="10"/>
        <v>3.7199999999999998</v>
      </c>
      <c r="K40" s="193"/>
    </row>
    <row r="41" spans="1:11" s="198" customFormat="1">
      <c r="A41" s="193"/>
      <c r="B41" s="208" t="s">
        <v>354</v>
      </c>
      <c r="C41" s="200"/>
      <c r="D41" s="193"/>
      <c r="E41" s="201"/>
      <c r="F41" s="201"/>
      <c r="G41" s="201"/>
      <c r="H41" s="201"/>
      <c r="I41" s="202">
        <f t="shared" si="11"/>
        <v>0</v>
      </c>
      <c r="J41" s="202">
        <f t="shared" si="10"/>
        <v>0</v>
      </c>
      <c r="K41" s="193"/>
    </row>
    <row r="42" spans="1:11" s="198" customFormat="1">
      <c r="A42" s="193"/>
      <c r="B42" s="199" t="s">
        <v>350</v>
      </c>
      <c r="C42" s="200"/>
      <c r="D42" s="193">
        <v>1</v>
      </c>
      <c r="E42" s="201">
        <v>1.25</v>
      </c>
      <c r="F42" s="201"/>
      <c r="G42" s="201">
        <f>0.25+0.15</f>
        <v>0.4</v>
      </c>
      <c r="H42" s="201">
        <v>36</v>
      </c>
      <c r="I42" s="202">
        <f t="shared" si="11"/>
        <v>18</v>
      </c>
      <c r="J42" s="202">
        <f t="shared" si="10"/>
        <v>18</v>
      </c>
      <c r="K42" s="193"/>
    </row>
    <row r="43" spans="1:11" s="198" customFormat="1">
      <c r="A43" s="193"/>
      <c r="B43" s="199" t="s">
        <v>351</v>
      </c>
      <c r="C43" s="200"/>
      <c r="D43" s="193">
        <v>1</v>
      </c>
      <c r="E43" s="201">
        <v>1.26</v>
      </c>
      <c r="F43" s="201"/>
      <c r="G43" s="201">
        <v>2.8</v>
      </c>
      <c r="H43" s="201">
        <v>1</v>
      </c>
      <c r="I43" s="202">
        <f t="shared" si="11"/>
        <v>3.5279999999999996</v>
      </c>
      <c r="J43" s="202">
        <f t="shared" si="10"/>
        <v>3.5279999999999996</v>
      </c>
      <c r="K43" s="193"/>
    </row>
    <row r="44" spans="1:11" s="198" customFormat="1">
      <c r="A44" s="193"/>
      <c r="B44" s="199"/>
      <c r="C44" s="200"/>
      <c r="D44" s="193">
        <v>1</v>
      </c>
      <c r="E44" s="201">
        <v>1.4</v>
      </c>
      <c r="F44" s="201"/>
      <c r="G44" s="201">
        <v>2.8</v>
      </c>
      <c r="H44" s="201">
        <v>1</v>
      </c>
      <c r="I44" s="202">
        <f t="shared" si="11"/>
        <v>3.9199999999999995</v>
      </c>
      <c r="J44" s="202">
        <f t="shared" si="10"/>
        <v>3.9199999999999995</v>
      </c>
      <c r="K44" s="193"/>
    </row>
    <row r="45" spans="1:11" s="198" customFormat="1">
      <c r="A45" s="193"/>
      <c r="B45" s="208" t="s">
        <v>355</v>
      </c>
      <c r="C45" s="195"/>
      <c r="D45" s="209">
        <v>20</v>
      </c>
      <c r="E45" s="210"/>
      <c r="F45" s="210"/>
      <c r="G45" s="210"/>
      <c r="H45" s="210"/>
      <c r="I45" s="197"/>
      <c r="J45" s="197"/>
      <c r="K45" s="193"/>
    </row>
    <row r="46" spans="1:11" s="198" customFormat="1">
      <c r="A46" s="193"/>
      <c r="B46" s="199" t="s">
        <v>350</v>
      </c>
      <c r="C46" s="200"/>
      <c r="D46" s="193">
        <v>20</v>
      </c>
      <c r="E46" s="201">
        <v>1.25</v>
      </c>
      <c r="F46" s="201"/>
      <c r="G46" s="202">
        <f>0.25+0.15</f>
        <v>0.4</v>
      </c>
      <c r="H46" s="201">
        <v>20</v>
      </c>
      <c r="I46" s="202">
        <f t="shared" ref="I46:I48" si="12">PRODUCT(E46:H46)</f>
        <v>10</v>
      </c>
      <c r="J46" s="202">
        <f t="shared" ref="J46:J48" si="13">I46*D46</f>
        <v>200</v>
      </c>
      <c r="K46" s="193"/>
    </row>
    <row r="47" spans="1:11" s="198" customFormat="1">
      <c r="A47" s="193"/>
      <c r="B47" s="199"/>
      <c r="C47" s="200"/>
      <c r="D47" s="193">
        <v>20</v>
      </c>
      <c r="E47" s="201">
        <v>2.125</v>
      </c>
      <c r="F47" s="201"/>
      <c r="G47" s="201">
        <v>2.8</v>
      </c>
      <c r="H47" s="201">
        <v>1</v>
      </c>
      <c r="I47" s="202">
        <f t="shared" si="12"/>
        <v>5.9499999999999993</v>
      </c>
      <c r="J47" s="202">
        <f t="shared" si="13"/>
        <v>118.99999999999999</v>
      </c>
      <c r="K47" s="193"/>
    </row>
    <row r="48" spans="1:11" s="198" customFormat="1">
      <c r="A48" s="193"/>
      <c r="B48" s="199"/>
      <c r="C48" s="200"/>
      <c r="D48" s="193">
        <v>20</v>
      </c>
      <c r="E48" s="201">
        <v>1.4</v>
      </c>
      <c r="F48" s="201"/>
      <c r="G48" s="201">
        <v>2.8</v>
      </c>
      <c r="H48" s="201">
        <v>1</v>
      </c>
      <c r="I48" s="202">
        <f t="shared" si="12"/>
        <v>3.9199999999999995</v>
      </c>
      <c r="J48" s="202">
        <f t="shared" si="13"/>
        <v>78.399999999999991</v>
      </c>
      <c r="K48" s="193"/>
    </row>
    <row r="49" spans="1:11" s="198" customFormat="1">
      <c r="A49" s="193"/>
      <c r="B49" s="199"/>
      <c r="C49" s="200"/>
      <c r="D49" s="193"/>
      <c r="E49" s="201"/>
      <c r="F49" s="201"/>
      <c r="G49" s="201"/>
      <c r="H49" s="201"/>
      <c r="I49" s="202"/>
      <c r="J49" s="202"/>
      <c r="K49" s="193"/>
    </row>
    <row r="50" spans="1:11">
      <c r="A50" s="2"/>
      <c r="B50" s="62"/>
      <c r="C50" s="56"/>
      <c r="D50" s="2"/>
      <c r="E50" s="70"/>
      <c r="F50" s="70"/>
      <c r="G50" s="70"/>
      <c r="H50" s="70"/>
      <c r="I50" s="69"/>
      <c r="J50" s="69"/>
      <c r="K50" s="2"/>
    </row>
    <row r="51" spans="1:11">
      <c r="A51" s="2"/>
      <c r="B51" s="62"/>
      <c r="C51" s="56"/>
      <c r="D51" s="2"/>
      <c r="E51" s="70"/>
      <c r="F51" s="70"/>
      <c r="G51" s="70"/>
      <c r="H51" s="70"/>
      <c r="I51" s="69"/>
      <c r="J51" s="69"/>
      <c r="K51" s="2"/>
    </row>
    <row r="52" spans="1:11">
      <c r="A52" s="2"/>
      <c r="B52" s="62"/>
      <c r="C52" s="56"/>
      <c r="D52" s="2"/>
      <c r="E52" s="70"/>
      <c r="F52" s="70"/>
      <c r="G52" s="70"/>
      <c r="H52" s="70"/>
      <c r="I52" s="69"/>
      <c r="J52" s="69"/>
      <c r="K52" s="2"/>
    </row>
    <row r="53" spans="1:11">
      <c r="A53" s="2"/>
      <c r="B53" s="62"/>
      <c r="C53" s="56"/>
      <c r="D53" s="2"/>
      <c r="E53" s="70"/>
      <c r="F53" s="70"/>
      <c r="G53" s="70"/>
      <c r="H53" s="70"/>
      <c r="I53" s="69"/>
      <c r="J53" s="69"/>
      <c r="K53" s="2"/>
    </row>
    <row r="54" spans="1:11">
      <c r="A54" s="2"/>
      <c r="B54" s="62"/>
      <c r="C54" s="56"/>
      <c r="D54" s="2"/>
      <c r="E54" s="70"/>
      <c r="F54" s="70"/>
      <c r="G54" s="70"/>
      <c r="H54" s="70"/>
      <c r="I54" s="69"/>
      <c r="J54" s="69"/>
      <c r="K54" s="2"/>
    </row>
    <row r="1048351" spans="1:15" s="71" customFormat="1">
      <c r="A1048351" s="1"/>
      <c r="B1048351" s="1"/>
      <c r="C1048351" s="57"/>
      <c r="D1048351" s="1"/>
      <c r="G1048351" s="70"/>
      <c r="K1048351" s="1"/>
      <c r="L1048351" s="1"/>
      <c r="M1048351" s="1"/>
      <c r="N1048351" s="1"/>
      <c r="O1048351" s="1"/>
    </row>
  </sheetData>
  <autoFilter ref="A5:K13" xr:uid="{00000000-0009-0000-0000-000002000000}"/>
  <mergeCells count="10">
    <mergeCell ref="A2:K2"/>
    <mergeCell ref="A6:A7"/>
    <mergeCell ref="B6:B7"/>
    <mergeCell ref="C6:C7"/>
    <mergeCell ref="D6:D7"/>
    <mergeCell ref="E6:G6"/>
    <mergeCell ref="H6:H7"/>
    <mergeCell ref="I6:I7"/>
    <mergeCell ref="J6:J7"/>
    <mergeCell ref="K6:K7"/>
  </mergeCells>
  <conditionalFormatting sqref="A6:K6 A7:I7 K7">
    <cfRule type="cellIs" dxfId="1" priority="1" operator="lessThan">
      <formula>0</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K250"/>
  <sheetViews>
    <sheetView topLeftCell="A199" zoomScaleNormal="100" workbookViewId="0">
      <selection activeCell="J148" sqref="J148"/>
    </sheetView>
  </sheetViews>
  <sheetFormatPr defaultRowHeight="15" outlineLevelRow="1"/>
  <cols>
    <col min="1" max="1" width="6.28515625" style="1" customWidth="1"/>
    <col min="2" max="2" width="58" style="1" customWidth="1"/>
    <col min="3" max="3" width="9.140625" style="1"/>
    <col min="4" max="4" width="9.140625" style="1" customWidth="1"/>
    <col min="5" max="5" width="10.42578125" style="1" customWidth="1"/>
    <col min="6" max="8" width="9.140625" style="1" customWidth="1"/>
    <col min="9" max="9" width="13" style="1" customWidth="1"/>
    <col min="10" max="10" width="11.140625" style="1" customWidth="1"/>
    <col min="11" max="11" width="15" style="1" customWidth="1"/>
    <col min="12" max="16384" width="9.140625" style="1"/>
  </cols>
  <sheetData>
    <row r="2" spans="1:11">
      <c r="A2" s="178" t="s">
        <v>11</v>
      </c>
      <c r="B2" s="178"/>
      <c r="C2" s="178"/>
      <c r="D2" s="178"/>
      <c r="E2" s="178"/>
      <c r="F2" s="178"/>
      <c r="G2" s="178"/>
      <c r="H2" s="178"/>
      <c r="I2" s="178"/>
      <c r="J2" s="178"/>
      <c r="K2" s="178"/>
    </row>
    <row r="6" spans="1:11" ht="15.75" customHeight="1">
      <c r="A6" s="179" t="s">
        <v>0</v>
      </c>
      <c r="B6" s="179" t="s">
        <v>1</v>
      </c>
      <c r="C6" s="179" t="s">
        <v>2</v>
      </c>
      <c r="D6" s="179" t="s">
        <v>3</v>
      </c>
      <c r="E6" s="187" t="s">
        <v>4</v>
      </c>
      <c r="F6" s="187"/>
      <c r="G6" s="187"/>
      <c r="H6" s="188" t="s">
        <v>5</v>
      </c>
      <c r="I6" s="187" t="s">
        <v>93</v>
      </c>
      <c r="J6" s="191" t="s">
        <v>6</v>
      </c>
      <c r="K6" s="179" t="s">
        <v>7</v>
      </c>
    </row>
    <row r="7" spans="1:11" ht="36.75" customHeight="1">
      <c r="A7" s="180"/>
      <c r="B7" s="180"/>
      <c r="C7" s="180"/>
      <c r="D7" s="180"/>
      <c r="E7" s="50" t="s">
        <v>8</v>
      </c>
      <c r="F7" s="50" t="s">
        <v>9</v>
      </c>
      <c r="G7" s="49" t="s">
        <v>10</v>
      </c>
      <c r="H7" s="189"/>
      <c r="I7" s="190"/>
      <c r="J7" s="192"/>
      <c r="K7" s="180"/>
    </row>
    <row r="8" spans="1:11" s="4" customFormat="1" ht="44.25" customHeight="1">
      <c r="A8" s="3">
        <v>1</v>
      </c>
      <c r="B8" s="32" t="s">
        <v>24</v>
      </c>
      <c r="C8" s="3" t="s">
        <v>12</v>
      </c>
      <c r="D8" s="3"/>
      <c r="E8" s="3"/>
      <c r="F8" s="3"/>
      <c r="G8" s="3"/>
      <c r="H8" s="3"/>
      <c r="I8" s="30"/>
      <c r="J8" s="30">
        <f>SUM(J9:J14)*0.2*2</f>
        <v>2.0131919999999996</v>
      </c>
      <c r="K8" s="3"/>
    </row>
    <row r="9" spans="1:11" outlineLevel="1">
      <c r="A9" s="2"/>
      <c r="B9" s="2" t="s">
        <v>94</v>
      </c>
      <c r="C9" s="2"/>
      <c r="D9" s="2"/>
      <c r="E9" s="2"/>
      <c r="F9" s="2"/>
      <c r="G9" s="47"/>
      <c r="H9" s="2"/>
      <c r="I9" s="31"/>
      <c r="J9" s="31"/>
      <c r="K9" s="2"/>
    </row>
    <row r="10" spans="1:11" outlineLevel="1">
      <c r="A10" s="2"/>
      <c r="B10" s="2"/>
      <c r="C10" s="2"/>
      <c r="D10" s="2">
        <v>1</v>
      </c>
      <c r="E10" s="2">
        <v>3</v>
      </c>
      <c r="F10" s="2">
        <v>0.15</v>
      </c>
      <c r="G10" s="47">
        <f>5-0.4</f>
        <v>4.5999999999999996</v>
      </c>
      <c r="H10" s="2">
        <v>1</v>
      </c>
      <c r="I10" s="31">
        <f>PRODUCT(E10:H10)</f>
        <v>2.0699999999999998</v>
      </c>
      <c r="J10" s="31">
        <f>I10*D10</f>
        <v>2.0699999999999998</v>
      </c>
      <c r="K10" s="2"/>
    </row>
    <row r="11" spans="1:11" outlineLevel="1">
      <c r="A11" s="2"/>
      <c r="B11" s="6" t="s">
        <v>13</v>
      </c>
      <c r="C11" s="2"/>
      <c r="D11" s="2">
        <v>1</v>
      </c>
      <c r="E11" s="2">
        <v>1.32</v>
      </c>
      <c r="F11" s="2">
        <v>0.15</v>
      </c>
      <c r="G11" s="2">
        <v>2.2000000000000002</v>
      </c>
      <c r="H11" s="2">
        <f>-H10</f>
        <v>-1</v>
      </c>
      <c r="I11" s="31">
        <f>PRODUCT(E11:H11)</f>
        <v>-0.43560000000000004</v>
      </c>
      <c r="J11" s="31">
        <f>I11*D11</f>
        <v>-0.43560000000000004</v>
      </c>
      <c r="K11" s="2"/>
    </row>
    <row r="12" spans="1:11" outlineLevel="1">
      <c r="A12" s="2"/>
      <c r="B12" s="2"/>
      <c r="C12" s="2"/>
      <c r="D12" s="2">
        <v>1</v>
      </c>
      <c r="E12" s="2">
        <v>2.2799999999999998</v>
      </c>
      <c r="F12" s="2">
        <v>0.15</v>
      </c>
      <c r="G12" s="47">
        <f>5-0.26</f>
        <v>4.74</v>
      </c>
      <c r="H12" s="2">
        <v>1</v>
      </c>
      <c r="I12" s="31">
        <f>PRODUCT(E12:H12)</f>
        <v>1.6210799999999999</v>
      </c>
      <c r="J12" s="31">
        <f>I12*D12</f>
        <v>1.6210799999999999</v>
      </c>
      <c r="K12" s="2"/>
    </row>
    <row r="13" spans="1:11" outlineLevel="1">
      <c r="A13" s="2"/>
      <c r="B13" s="2" t="s">
        <v>170</v>
      </c>
      <c r="C13" s="2"/>
      <c r="D13" s="2">
        <v>1</v>
      </c>
      <c r="E13" s="2">
        <v>2.5</v>
      </c>
      <c r="F13" s="2">
        <v>0.15</v>
      </c>
      <c r="G13" s="47">
        <f>5-0.26</f>
        <v>4.74</v>
      </c>
      <c r="H13" s="2">
        <v>1</v>
      </c>
      <c r="I13" s="31">
        <f>PRODUCT(E13:H13)</f>
        <v>1.7775000000000001</v>
      </c>
      <c r="J13" s="31">
        <f>I13*D13</f>
        <v>1.7775000000000001</v>
      </c>
      <c r="K13" s="2"/>
    </row>
    <row r="14" spans="1:11" outlineLevel="1">
      <c r="A14" s="2"/>
      <c r="B14" s="6"/>
      <c r="C14" s="2"/>
      <c r="D14" s="2"/>
      <c r="E14" s="7"/>
      <c r="F14" s="2"/>
      <c r="G14" s="2"/>
      <c r="H14" s="2"/>
      <c r="I14" s="7"/>
      <c r="J14" s="7"/>
      <c r="K14" s="2"/>
    </row>
    <row r="15" spans="1:11" s="36" customFormat="1" ht="44.25" customHeight="1">
      <c r="A15" s="33">
        <v>2</v>
      </c>
      <c r="B15" s="34" t="s">
        <v>25</v>
      </c>
      <c r="C15" s="33" t="s">
        <v>12</v>
      </c>
      <c r="D15" s="33"/>
      <c r="E15" s="33"/>
      <c r="F15" s="33"/>
      <c r="G15" s="33"/>
      <c r="H15" s="33"/>
      <c r="I15" s="35"/>
      <c r="J15" s="35">
        <f>SUM(J9:J14)*0.8*2</f>
        <v>8.0527679999999986</v>
      </c>
      <c r="K15" s="33"/>
    </row>
    <row r="16" spans="1:11" outlineLevel="1">
      <c r="A16" s="2"/>
      <c r="B16" s="2"/>
      <c r="C16" s="2"/>
      <c r="D16" s="2"/>
      <c r="E16" s="2"/>
      <c r="F16" s="2"/>
      <c r="G16" s="2"/>
      <c r="H16" s="2"/>
      <c r="I16" s="31"/>
      <c r="J16" s="31"/>
      <c r="K16" s="5"/>
    </row>
    <row r="17" spans="1:11" s="36" customFormat="1" ht="15.75" customHeight="1">
      <c r="A17" s="33">
        <v>3</v>
      </c>
      <c r="B17" s="34" t="s">
        <v>26</v>
      </c>
      <c r="C17" s="33" t="s">
        <v>12</v>
      </c>
      <c r="D17" s="33"/>
      <c r="E17" s="33"/>
      <c r="F17" s="33"/>
      <c r="G17" s="33"/>
      <c r="H17" s="33"/>
      <c r="I17" s="35"/>
      <c r="J17" s="35">
        <f>SUM(J18:J20)*2</f>
        <v>4.6215000000000002</v>
      </c>
      <c r="K17" s="33"/>
    </row>
    <row r="18" spans="1:11" s="36" customFormat="1" outlineLevel="1">
      <c r="A18" s="38"/>
      <c r="B18" s="37" t="s">
        <v>139</v>
      </c>
      <c r="C18" s="38"/>
      <c r="D18" s="38">
        <v>1</v>
      </c>
      <c r="E18" s="38">
        <v>2.75</v>
      </c>
      <c r="F18" s="38">
        <v>0.15</v>
      </c>
      <c r="G18" s="48">
        <f>5-0.26</f>
        <v>4.74</v>
      </c>
      <c r="H18" s="38">
        <v>1</v>
      </c>
      <c r="I18" s="31">
        <f t="shared" ref="I18:I19" si="0">PRODUCT(E18:H18)</f>
        <v>1.9552499999999999</v>
      </c>
      <c r="J18" s="31">
        <f t="shared" ref="J18:J19" si="1">I18*D18</f>
        <v>1.9552499999999999</v>
      </c>
      <c r="K18" s="38"/>
    </row>
    <row r="19" spans="1:11" s="36" customFormat="1" outlineLevel="1">
      <c r="A19" s="38"/>
      <c r="B19" s="37"/>
      <c r="C19" s="38"/>
      <c r="D19" s="38">
        <v>1</v>
      </c>
      <c r="E19" s="38">
        <v>0.5</v>
      </c>
      <c r="F19" s="38">
        <v>0.15</v>
      </c>
      <c r="G19" s="48">
        <f>5-0.26</f>
        <v>4.74</v>
      </c>
      <c r="H19" s="38">
        <v>1</v>
      </c>
      <c r="I19" s="31">
        <f t="shared" si="0"/>
        <v>0.35549999999999998</v>
      </c>
      <c r="J19" s="31">
        <f t="shared" si="1"/>
        <v>0.35549999999999998</v>
      </c>
      <c r="K19" s="38"/>
    </row>
    <row r="20" spans="1:11" ht="14.25" customHeight="1" outlineLevel="1">
      <c r="A20" s="2"/>
      <c r="B20" s="2"/>
      <c r="C20" s="2"/>
      <c r="D20" s="2"/>
      <c r="E20" s="2"/>
      <c r="F20" s="2"/>
      <c r="G20" s="2"/>
      <c r="H20" s="2"/>
      <c r="I20" s="31"/>
      <c r="J20" s="31"/>
      <c r="K20" s="39"/>
    </row>
    <row r="21" spans="1:11" s="36" customFormat="1" ht="15.75" customHeight="1">
      <c r="A21" s="33">
        <v>4</v>
      </c>
      <c r="B21" s="34" t="s">
        <v>96</v>
      </c>
      <c r="C21" s="33" t="s">
        <v>12</v>
      </c>
      <c r="D21" s="33"/>
      <c r="E21" s="33"/>
      <c r="F21" s="33"/>
      <c r="G21" s="33"/>
      <c r="H21" s="33"/>
      <c r="I21" s="35"/>
      <c r="J21" s="35">
        <f>SUM(J22:J24)*2/2</f>
        <v>0</v>
      </c>
      <c r="K21" s="33"/>
    </row>
    <row r="22" spans="1:11" s="36" customFormat="1" outlineLevel="1">
      <c r="A22" s="38"/>
      <c r="B22" s="37" t="s">
        <v>97</v>
      </c>
      <c r="C22" s="38"/>
      <c r="D22" s="38">
        <v>1</v>
      </c>
      <c r="E22" s="38">
        <v>1.3</v>
      </c>
      <c r="F22" s="38">
        <v>0.28000000000000003</v>
      </c>
      <c r="G22" s="38">
        <v>0.17</v>
      </c>
      <c r="H22" s="38">
        <v>9</v>
      </c>
      <c r="I22" s="31">
        <f>PRODUCT(E22:H22)</f>
        <v>0.55692000000000008</v>
      </c>
      <c r="J22" s="31"/>
      <c r="K22" s="38"/>
    </row>
    <row r="23" spans="1:11" s="36" customFormat="1" outlineLevel="1">
      <c r="A23" s="38"/>
      <c r="B23" s="37" t="s">
        <v>95</v>
      </c>
      <c r="C23" s="38"/>
      <c r="D23" s="38">
        <v>1</v>
      </c>
      <c r="E23" s="38">
        <v>1.3</v>
      </c>
      <c r="F23" s="38">
        <v>0.28000000000000003</v>
      </c>
      <c r="G23" s="38">
        <v>0.17</v>
      </c>
      <c r="H23" s="38">
        <v>9</v>
      </c>
      <c r="I23" s="31">
        <f>PRODUCT(E23:H23)</f>
        <v>0.55692000000000008</v>
      </c>
      <c r="J23" s="31"/>
      <c r="K23" s="38"/>
    </row>
    <row r="24" spans="1:11" s="36" customFormat="1" outlineLevel="1">
      <c r="A24" s="38"/>
      <c r="B24" s="37"/>
      <c r="C24" s="38"/>
      <c r="D24" s="38"/>
      <c r="E24" s="38"/>
      <c r="F24" s="38"/>
      <c r="G24" s="38"/>
      <c r="H24" s="38"/>
      <c r="I24" s="31"/>
      <c r="J24" s="31"/>
      <c r="K24" s="38"/>
    </row>
    <row r="25" spans="1:11" s="4" customFormat="1" ht="14.25">
      <c r="A25" s="3">
        <v>5</v>
      </c>
      <c r="B25" s="3" t="s">
        <v>44</v>
      </c>
      <c r="C25" s="3" t="s">
        <v>12</v>
      </c>
      <c r="D25" s="3"/>
      <c r="E25" s="3"/>
      <c r="F25" s="3"/>
      <c r="G25" s="3"/>
      <c r="H25" s="3"/>
      <c r="I25" s="30"/>
      <c r="J25" s="30">
        <f>SUM(J26:J46)*2</f>
        <v>567.62400000000002</v>
      </c>
      <c r="K25" s="3"/>
    </row>
    <row r="26" spans="1:11" outlineLevel="1">
      <c r="A26" s="2"/>
      <c r="B26" s="2" t="s">
        <v>171</v>
      </c>
      <c r="C26" s="2"/>
      <c r="D26" s="2">
        <v>1</v>
      </c>
      <c r="E26" s="2">
        <v>2.2999999999999998</v>
      </c>
      <c r="F26" s="2"/>
      <c r="G26" s="47">
        <f>5-0.6</f>
        <v>4.4000000000000004</v>
      </c>
      <c r="H26" s="2">
        <v>1</v>
      </c>
      <c r="I26" s="31">
        <f>PRODUCT(E26:H26)</f>
        <v>10.119999999999999</v>
      </c>
      <c r="J26" s="31">
        <f>I26*D26</f>
        <v>10.119999999999999</v>
      </c>
      <c r="K26" s="5"/>
    </row>
    <row r="27" spans="1:11" outlineLevel="1">
      <c r="A27" s="2"/>
      <c r="B27" s="6" t="s">
        <v>13</v>
      </c>
      <c r="C27" s="2"/>
      <c r="D27" s="2">
        <v>1</v>
      </c>
      <c r="E27" s="2">
        <v>1.32</v>
      </c>
      <c r="F27" s="2"/>
      <c r="G27" s="2">
        <v>2.2000000000000002</v>
      </c>
      <c r="H27" s="2">
        <v>-1</v>
      </c>
      <c r="I27" s="31">
        <f t="shared" ref="I27" si="2">PRODUCT(E27:H27)</f>
        <v>-2.9040000000000004</v>
      </c>
      <c r="J27" s="31">
        <f t="shared" ref="J27" si="3">I27*D27</f>
        <v>-2.9040000000000004</v>
      </c>
      <c r="K27" s="2"/>
    </row>
    <row r="28" spans="1:11" outlineLevel="1">
      <c r="A28" s="2"/>
      <c r="B28" s="6"/>
      <c r="C28" s="2"/>
      <c r="D28" s="2">
        <v>1</v>
      </c>
      <c r="E28" s="2">
        <v>2.75</v>
      </c>
      <c r="F28" s="2"/>
      <c r="G28" s="47">
        <f>5-0.2</f>
        <v>4.8</v>
      </c>
      <c r="H28" s="2">
        <v>1</v>
      </c>
      <c r="I28" s="31">
        <f>PRODUCT(E28:H28)</f>
        <v>13.2</v>
      </c>
      <c r="J28" s="31">
        <f>I28*D28</f>
        <v>13.2</v>
      </c>
      <c r="K28" s="5"/>
    </row>
    <row r="29" spans="1:11" outlineLevel="1">
      <c r="A29" s="2"/>
      <c r="B29" s="2"/>
      <c r="C29" s="2"/>
      <c r="D29" s="2">
        <v>1</v>
      </c>
      <c r="E29" s="2">
        <v>0.65</v>
      </c>
      <c r="F29" s="2"/>
      <c r="G29" s="47">
        <f>5-0.2</f>
        <v>4.8</v>
      </c>
      <c r="H29" s="2">
        <v>1</v>
      </c>
      <c r="I29" s="31">
        <f>PRODUCT(E29:H29)</f>
        <v>3.12</v>
      </c>
      <c r="J29" s="31">
        <f>I29*D29</f>
        <v>3.12</v>
      </c>
      <c r="K29" s="2"/>
    </row>
    <row r="30" spans="1:11" outlineLevel="1">
      <c r="A30" s="2"/>
      <c r="B30" s="6"/>
      <c r="C30" s="2"/>
      <c r="D30" s="2">
        <v>1</v>
      </c>
      <c r="E30" s="2">
        <v>4.3099999999999996</v>
      </c>
      <c r="F30" s="2"/>
      <c r="G30" s="47">
        <f>5-0.4</f>
        <v>4.5999999999999996</v>
      </c>
      <c r="H30" s="2">
        <v>1</v>
      </c>
      <c r="I30" s="31">
        <f>PRODUCT(E30:H30)</f>
        <v>19.825999999999997</v>
      </c>
      <c r="J30" s="31">
        <f>I30*D30</f>
        <v>19.825999999999997</v>
      </c>
      <c r="K30" s="2"/>
    </row>
    <row r="31" spans="1:11" outlineLevel="1">
      <c r="A31" s="2"/>
      <c r="B31" s="6"/>
      <c r="C31" s="2"/>
      <c r="D31" s="2">
        <v>1</v>
      </c>
      <c r="E31" s="2">
        <v>2.5</v>
      </c>
      <c r="F31" s="2"/>
      <c r="G31" s="47">
        <f>5-0.4</f>
        <v>4.5999999999999996</v>
      </c>
      <c r="H31" s="2">
        <v>2</v>
      </c>
      <c r="I31" s="31">
        <f>PRODUCT(E31:H31)</f>
        <v>23</v>
      </c>
      <c r="J31" s="31">
        <f>I31*D31</f>
        <v>23</v>
      </c>
      <c r="K31" s="2"/>
    </row>
    <row r="32" spans="1:11" outlineLevel="1">
      <c r="A32" s="2"/>
      <c r="B32" s="6"/>
      <c r="C32" s="2"/>
      <c r="D32" s="2">
        <v>1</v>
      </c>
      <c r="E32" s="2">
        <v>2.75</v>
      </c>
      <c r="F32" s="2"/>
      <c r="G32" s="47">
        <f>5-0.4</f>
        <v>4.5999999999999996</v>
      </c>
      <c r="H32" s="2">
        <v>2</v>
      </c>
      <c r="I32" s="31">
        <f>PRODUCT(E32:H32)</f>
        <v>25.299999999999997</v>
      </c>
      <c r="J32" s="31">
        <f>I32*D32</f>
        <v>25.299999999999997</v>
      </c>
      <c r="K32" s="2"/>
    </row>
    <row r="33" spans="1:11" outlineLevel="1">
      <c r="A33" s="2"/>
      <c r="B33" s="6" t="s">
        <v>13</v>
      </c>
      <c r="C33" s="2"/>
      <c r="D33" s="2">
        <v>1</v>
      </c>
      <c r="E33" s="2">
        <v>1.32</v>
      </c>
      <c r="F33" s="2"/>
      <c r="G33" s="2">
        <v>2.2000000000000002</v>
      </c>
      <c r="H33" s="2">
        <v>-1</v>
      </c>
      <c r="I33" s="31">
        <f t="shared" ref="I33" si="4">PRODUCT(E33:H33)</f>
        <v>-2.9040000000000004</v>
      </c>
      <c r="J33" s="31">
        <f t="shared" ref="J33" si="5">I33*D33</f>
        <v>-2.9040000000000004</v>
      </c>
      <c r="K33" s="2"/>
    </row>
    <row r="34" spans="1:11" outlineLevel="1">
      <c r="A34" s="2"/>
      <c r="B34" s="6"/>
      <c r="C34" s="2"/>
      <c r="D34" s="2">
        <v>1</v>
      </c>
      <c r="E34" s="2">
        <v>16.489999999999998</v>
      </c>
      <c r="F34" s="2"/>
      <c r="G34" s="47">
        <f>5-0.2</f>
        <v>4.8</v>
      </c>
      <c r="H34" s="2">
        <v>1</v>
      </c>
      <c r="I34" s="31">
        <f>PRODUCT(E34:H34)</f>
        <v>79.151999999999987</v>
      </c>
      <c r="J34" s="31">
        <f>I34*D34</f>
        <v>79.151999999999987</v>
      </c>
      <c r="K34" s="2"/>
    </row>
    <row r="35" spans="1:11" outlineLevel="1">
      <c r="A35" s="2"/>
      <c r="B35" s="6" t="s">
        <v>13</v>
      </c>
      <c r="C35" s="2"/>
      <c r="D35" s="2">
        <v>1</v>
      </c>
      <c r="E35" s="2">
        <v>1.32</v>
      </c>
      <c r="F35" s="2"/>
      <c r="G35" s="2">
        <v>2.2000000000000002</v>
      </c>
      <c r="H35" s="2">
        <v>-1</v>
      </c>
      <c r="I35" s="31">
        <f t="shared" ref="I35" si="6">PRODUCT(E35:H35)</f>
        <v>-2.9040000000000004</v>
      </c>
      <c r="J35" s="31">
        <f t="shared" ref="J35" si="7">I35*D35</f>
        <v>-2.9040000000000004</v>
      </c>
      <c r="K35" s="2"/>
    </row>
    <row r="36" spans="1:11" outlineLevel="1">
      <c r="A36" s="2"/>
      <c r="B36" s="6"/>
      <c r="C36" s="2"/>
      <c r="D36" s="2">
        <v>1</v>
      </c>
      <c r="E36" s="2">
        <v>2.8</v>
      </c>
      <c r="F36" s="2"/>
      <c r="G36" s="47">
        <f>5-0.2</f>
        <v>4.8</v>
      </c>
      <c r="H36" s="2">
        <v>1</v>
      </c>
      <c r="I36" s="31">
        <f>PRODUCT(E36:H36)</f>
        <v>13.44</v>
      </c>
      <c r="J36" s="31">
        <f>I36*D36</f>
        <v>13.44</v>
      </c>
      <c r="K36" s="2"/>
    </row>
    <row r="37" spans="1:11" outlineLevel="1">
      <c r="A37" s="2"/>
      <c r="B37" s="6"/>
      <c r="C37" s="2"/>
      <c r="D37" s="2">
        <v>1</v>
      </c>
      <c r="E37" s="2">
        <v>2.75</v>
      </c>
      <c r="F37" s="2"/>
      <c r="G37" s="47">
        <f>5-0.2</f>
        <v>4.8</v>
      </c>
      <c r="H37" s="2">
        <v>1</v>
      </c>
      <c r="I37" s="31">
        <f>PRODUCT(E37:H37)</f>
        <v>13.2</v>
      </c>
      <c r="J37" s="31">
        <f>I37*D37</f>
        <v>13.2</v>
      </c>
      <c r="K37" s="2"/>
    </row>
    <row r="38" spans="1:11" outlineLevel="1">
      <c r="A38" s="2"/>
      <c r="B38" s="2" t="s">
        <v>97</v>
      </c>
      <c r="C38" s="2"/>
      <c r="D38" s="2">
        <v>1</v>
      </c>
      <c r="E38" s="2">
        <v>3</v>
      </c>
      <c r="F38" s="2"/>
      <c r="G38" s="47">
        <f>5-0.4</f>
        <v>4.5999999999999996</v>
      </c>
      <c r="H38" s="2">
        <v>1</v>
      </c>
      <c r="I38" s="31">
        <f>PRODUCT(E38:H38)</f>
        <v>13.799999999999999</v>
      </c>
      <c r="J38" s="31">
        <f>I38*D38</f>
        <v>13.799999999999999</v>
      </c>
      <c r="K38" s="2"/>
    </row>
    <row r="39" spans="1:11" outlineLevel="1">
      <c r="A39" s="2"/>
      <c r="B39" s="6" t="s">
        <v>13</v>
      </c>
      <c r="C39" s="2"/>
      <c r="D39" s="2">
        <v>1</v>
      </c>
      <c r="E39" s="2">
        <v>1.32</v>
      </c>
      <c r="F39" s="2"/>
      <c r="G39" s="2">
        <v>2.2000000000000002</v>
      </c>
      <c r="H39" s="2">
        <v>-1</v>
      </c>
      <c r="I39" s="31">
        <f t="shared" ref="I39" si="8">PRODUCT(E39:H39)</f>
        <v>-2.9040000000000004</v>
      </c>
      <c r="J39" s="31">
        <f t="shared" ref="J39" si="9">I39*D39</f>
        <v>-2.9040000000000004</v>
      </c>
      <c r="K39" s="2"/>
    </row>
    <row r="40" spans="1:11" s="4" customFormat="1" outlineLevel="1">
      <c r="A40" s="3"/>
      <c r="B40" s="2"/>
      <c r="C40" s="3"/>
      <c r="D40" s="2">
        <v>1</v>
      </c>
      <c r="E40" s="2">
        <v>2.2799999999999998</v>
      </c>
      <c r="F40" s="2"/>
      <c r="G40" s="47">
        <f>5-0.4</f>
        <v>4.5999999999999996</v>
      </c>
      <c r="H40" s="2">
        <v>1</v>
      </c>
      <c r="I40" s="31">
        <f>PRODUCT(E40:H40)</f>
        <v>10.487999999999998</v>
      </c>
      <c r="J40" s="31">
        <f>I40*D40</f>
        <v>10.487999999999998</v>
      </c>
      <c r="K40" s="5"/>
    </row>
    <row r="41" spans="1:11" s="4" customFormat="1" outlineLevel="1">
      <c r="A41" s="3"/>
      <c r="B41" s="6"/>
      <c r="C41" s="3"/>
      <c r="D41" s="2">
        <v>1</v>
      </c>
      <c r="E41" s="2">
        <v>1.875</v>
      </c>
      <c r="F41" s="2"/>
      <c r="G41" s="47">
        <f>5-0.4</f>
        <v>4.5999999999999996</v>
      </c>
      <c r="H41" s="2">
        <v>2</v>
      </c>
      <c r="I41" s="31">
        <f>PRODUCT(E41:H41)</f>
        <v>17.25</v>
      </c>
      <c r="J41" s="31">
        <f>I41*D41</f>
        <v>17.25</v>
      </c>
      <c r="K41" s="5"/>
    </row>
    <row r="42" spans="1:11" outlineLevel="1">
      <c r="A42" s="2"/>
      <c r="B42" s="6" t="s">
        <v>13</v>
      </c>
      <c r="C42" s="2"/>
      <c r="D42" s="2">
        <v>1</v>
      </c>
      <c r="E42" s="2">
        <v>1.32</v>
      </c>
      <c r="F42" s="2"/>
      <c r="G42" s="2">
        <v>2.2000000000000002</v>
      </c>
      <c r="H42" s="2">
        <v>-2</v>
      </c>
      <c r="I42" s="31">
        <f t="shared" ref="I42" si="10">PRODUCT(E42:H42)</f>
        <v>-5.8080000000000007</v>
      </c>
      <c r="J42" s="31">
        <f t="shared" ref="J42" si="11">I42*D42</f>
        <v>-5.8080000000000007</v>
      </c>
      <c r="K42" s="2"/>
    </row>
    <row r="43" spans="1:11" s="4" customFormat="1" outlineLevel="1">
      <c r="A43" s="3"/>
      <c r="B43" s="6"/>
      <c r="C43" s="2"/>
      <c r="D43" s="2">
        <v>1</v>
      </c>
      <c r="E43" s="2">
        <v>5.59</v>
      </c>
      <c r="F43" s="2"/>
      <c r="G43" s="47">
        <f>5-0.4</f>
        <v>4.5999999999999996</v>
      </c>
      <c r="H43" s="2">
        <v>1</v>
      </c>
      <c r="I43" s="31">
        <f>PRODUCT(E43:H43)</f>
        <v>25.713999999999999</v>
      </c>
      <c r="J43" s="31">
        <f>I43*D43</f>
        <v>25.713999999999999</v>
      </c>
      <c r="K43" s="2"/>
    </row>
    <row r="44" spans="1:11" s="4" customFormat="1" outlineLevel="1">
      <c r="A44" s="3"/>
      <c r="B44" s="6"/>
      <c r="C44" s="2"/>
      <c r="D44" s="2">
        <v>1</v>
      </c>
      <c r="E44" s="2">
        <v>4.6100000000000003</v>
      </c>
      <c r="F44" s="2"/>
      <c r="G44" s="47">
        <f>5-0.4</f>
        <v>4.5999999999999996</v>
      </c>
      <c r="H44" s="2">
        <v>1</v>
      </c>
      <c r="I44" s="31">
        <f>PRODUCT(E44:H44)</f>
        <v>21.206</v>
      </c>
      <c r="J44" s="31">
        <f>I44*D44</f>
        <v>21.206</v>
      </c>
      <c r="K44" s="2"/>
    </row>
    <row r="45" spans="1:11" s="4" customFormat="1" outlineLevel="1">
      <c r="A45" s="3"/>
      <c r="B45" s="6"/>
      <c r="C45" s="2"/>
      <c r="D45" s="2">
        <v>1</v>
      </c>
      <c r="E45" s="2">
        <v>2.7</v>
      </c>
      <c r="F45" s="2"/>
      <c r="G45" s="47">
        <f>5-0.4</f>
        <v>4.5999999999999996</v>
      </c>
      <c r="H45" s="2">
        <v>1</v>
      </c>
      <c r="I45" s="31">
        <f>PRODUCT(E45:H45)</f>
        <v>12.42</v>
      </c>
      <c r="J45" s="31">
        <f>I45*D45</f>
        <v>12.42</v>
      </c>
      <c r="K45" s="2"/>
    </row>
    <row r="46" spans="1:11" outlineLevel="1">
      <c r="A46" s="2"/>
      <c r="B46" s="2"/>
      <c r="C46" s="2"/>
      <c r="D46" s="2"/>
      <c r="E46" s="2"/>
      <c r="F46" s="2"/>
      <c r="G46" s="47"/>
      <c r="H46" s="2"/>
      <c r="I46" s="31"/>
      <c r="J46" s="31"/>
      <c r="K46" s="5"/>
    </row>
    <row r="47" spans="1:11" s="4" customFormat="1" ht="14.25">
      <c r="A47" s="3">
        <v>6</v>
      </c>
      <c r="B47" s="3" t="s">
        <v>45</v>
      </c>
      <c r="C47" s="3" t="s">
        <v>12</v>
      </c>
      <c r="D47" s="3"/>
      <c r="E47" s="3"/>
      <c r="F47" s="3"/>
      <c r="G47" s="3"/>
      <c r="H47" s="3"/>
      <c r="I47" s="30"/>
      <c r="J47" s="30">
        <f>SUM(J48:J55)*2</f>
        <v>425.34399999999999</v>
      </c>
      <c r="K47" s="3"/>
    </row>
    <row r="48" spans="1:11" outlineLevel="1">
      <c r="A48" s="2"/>
      <c r="B48" s="2" t="s">
        <v>139</v>
      </c>
      <c r="C48" s="2"/>
      <c r="D48" s="2">
        <v>1</v>
      </c>
      <c r="E48" s="2">
        <v>8.5</v>
      </c>
      <c r="F48" s="2"/>
      <c r="G48" s="47">
        <f>5-0.2</f>
        <v>4.8</v>
      </c>
      <c r="H48" s="2">
        <v>2</v>
      </c>
      <c r="I48" s="31">
        <f t="shared" ref="I48" si="12">PRODUCT(E48:H48)</f>
        <v>81.599999999999994</v>
      </c>
      <c r="J48" s="31">
        <f t="shared" ref="J48" si="13">I48*D48</f>
        <v>81.599999999999994</v>
      </c>
      <c r="K48" s="5"/>
    </row>
    <row r="49" spans="1:11" outlineLevel="1">
      <c r="A49" s="2"/>
      <c r="B49" s="6"/>
      <c r="C49" s="2"/>
      <c r="D49" s="2">
        <v>1</v>
      </c>
      <c r="E49" s="2">
        <v>2.35</v>
      </c>
      <c r="F49" s="2"/>
      <c r="G49" s="47">
        <f t="shared" ref="G49:G53" si="14">5-0.2</f>
        <v>4.8</v>
      </c>
      <c r="H49" s="2">
        <v>0</v>
      </c>
      <c r="I49" s="31">
        <f t="shared" ref="I49" si="15">PRODUCT(E49:H49)</f>
        <v>0</v>
      </c>
      <c r="J49" s="31">
        <f t="shared" ref="J49" si="16">I49*D49</f>
        <v>0</v>
      </c>
      <c r="K49" s="5"/>
    </row>
    <row r="50" spans="1:11" outlineLevel="1">
      <c r="A50" s="2"/>
      <c r="B50" s="2"/>
      <c r="C50" s="2"/>
      <c r="D50" s="2">
        <v>1</v>
      </c>
      <c r="E50" s="2">
        <v>8.9700000000000006</v>
      </c>
      <c r="F50" s="2"/>
      <c r="G50" s="47">
        <f t="shared" si="14"/>
        <v>4.8</v>
      </c>
      <c r="H50" s="2">
        <v>2</v>
      </c>
      <c r="I50" s="31">
        <f t="shared" ref="I50:I51" si="17">PRODUCT(E50:H50)</f>
        <v>86.112000000000009</v>
      </c>
      <c r="J50" s="31">
        <f t="shared" ref="J50:J51" si="18">I50*D50</f>
        <v>86.112000000000009</v>
      </c>
      <c r="K50" s="2"/>
    </row>
    <row r="51" spans="1:11" outlineLevel="1">
      <c r="A51" s="2"/>
      <c r="B51" s="2"/>
      <c r="C51" s="2"/>
      <c r="D51" s="2">
        <v>1</v>
      </c>
      <c r="E51" s="2">
        <v>2.5</v>
      </c>
      <c r="F51" s="2"/>
      <c r="G51" s="47">
        <f t="shared" si="14"/>
        <v>4.8</v>
      </c>
      <c r="H51" s="2">
        <v>2</v>
      </c>
      <c r="I51" s="31">
        <f t="shared" si="17"/>
        <v>24</v>
      </c>
      <c r="J51" s="31">
        <f t="shared" si="18"/>
        <v>24</v>
      </c>
      <c r="K51" s="2"/>
    </row>
    <row r="52" spans="1:11" outlineLevel="1">
      <c r="A52" s="2"/>
      <c r="B52" s="6"/>
      <c r="C52" s="2"/>
      <c r="D52" s="2">
        <v>1</v>
      </c>
      <c r="E52" s="2">
        <v>1.35</v>
      </c>
      <c r="F52" s="2"/>
      <c r="G52" s="47">
        <f t="shared" si="14"/>
        <v>4.8</v>
      </c>
      <c r="H52" s="2">
        <v>2</v>
      </c>
      <c r="I52" s="31">
        <f t="shared" ref="I52" si="19">PRODUCT(E52:H52)</f>
        <v>12.96</v>
      </c>
      <c r="J52" s="31">
        <f t="shared" ref="J52" si="20">I52*D52</f>
        <v>12.96</v>
      </c>
      <c r="K52" s="2"/>
    </row>
    <row r="53" spans="1:11" outlineLevel="1">
      <c r="A53" s="2"/>
      <c r="B53" s="6"/>
      <c r="C53" s="2"/>
      <c r="D53" s="2">
        <v>1</v>
      </c>
      <c r="E53" s="2">
        <v>1.2</v>
      </c>
      <c r="F53" s="2"/>
      <c r="G53" s="47">
        <f t="shared" si="14"/>
        <v>4.8</v>
      </c>
      <c r="H53" s="2">
        <v>2</v>
      </c>
      <c r="I53" s="31">
        <f t="shared" ref="I53:I54" si="21">PRODUCT(E53:H53)</f>
        <v>11.52</v>
      </c>
      <c r="J53" s="31">
        <f t="shared" ref="J53:J54" si="22">I53*D53</f>
        <v>11.52</v>
      </c>
      <c r="K53" s="2"/>
    </row>
    <row r="54" spans="1:11" outlineLevel="1">
      <c r="A54" s="2"/>
      <c r="B54" s="6" t="s">
        <v>13</v>
      </c>
      <c r="C54" s="2"/>
      <c r="D54" s="2">
        <v>1</v>
      </c>
      <c r="E54" s="2">
        <v>0.8</v>
      </c>
      <c r="F54" s="2"/>
      <c r="G54" s="2">
        <v>2.2000000000000002</v>
      </c>
      <c r="H54" s="2">
        <v>-2</v>
      </c>
      <c r="I54" s="31">
        <f t="shared" si="21"/>
        <v>-3.5200000000000005</v>
      </c>
      <c r="J54" s="31">
        <f t="shared" si="22"/>
        <v>-3.5200000000000005</v>
      </c>
      <c r="K54" s="2"/>
    </row>
    <row r="55" spans="1:11" outlineLevel="1">
      <c r="A55" s="2"/>
      <c r="B55" s="6"/>
      <c r="C55" s="2"/>
      <c r="D55" s="2"/>
      <c r="E55" s="2"/>
      <c r="F55" s="2"/>
      <c r="G55" s="47"/>
      <c r="H55" s="2"/>
      <c r="I55" s="31"/>
      <c r="J55" s="31"/>
      <c r="K55" s="2"/>
    </row>
    <row r="56" spans="1:11" s="4" customFormat="1" ht="14.25">
      <c r="A56" s="3">
        <v>7</v>
      </c>
      <c r="B56" s="3" t="s">
        <v>46</v>
      </c>
      <c r="C56" s="3"/>
      <c r="D56" s="3"/>
      <c r="E56" s="3"/>
      <c r="F56" s="3"/>
      <c r="G56" s="3"/>
      <c r="H56" s="3"/>
      <c r="I56" s="30"/>
      <c r="J56" s="30">
        <f>SUM(J57:J59)*2</f>
        <v>51.743999999999986</v>
      </c>
      <c r="K56" s="3"/>
    </row>
    <row r="57" spans="1:11" outlineLevel="1">
      <c r="A57" s="2"/>
      <c r="B57" s="2" t="s">
        <v>139</v>
      </c>
      <c r="C57" s="2"/>
      <c r="D57" s="2">
        <v>1</v>
      </c>
      <c r="E57" s="2">
        <f>1.44+0.15</f>
        <v>1.5899999999999999</v>
      </c>
      <c r="F57" s="2"/>
      <c r="G57" s="47">
        <f>5-0.2</f>
        <v>4.8</v>
      </c>
      <c r="H57" s="2">
        <v>1</v>
      </c>
      <c r="I57" s="31">
        <f t="shared" ref="I57" si="23">PRODUCT(E57:H57)</f>
        <v>7.6319999999999988</v>
      </c>
      <c r="J57" s="31">
        <f t="shared" ref="J57" si="24">I57*D57</f>
        <v>7.6319999999999988</v>
      </c>
      <c r="K57" s="5"/>
    </row>
    <row r="58" spans="1:11" outlineLevel="1">
      <c r="A58" s="2"/>
      <c r="B58" s="2" t="s">
        <v>102</v>
      </c>
      <c r="C58" s="2"/>
      <c r="D58" s="2">
        <v>1</v>
      </c>
      <c r="E58" s="2">
        <f>1.45+0.15+0.95+0.15+0.95+0.15</f>
        <v>3.7999999999999994</v>
      </c>
      <c r="F58" s="2"/>
      <c r="G58" s="47">
        <f>5-0.2</f>
        <v>4.8</v>
      </c>
      <c r="H58" s="2">
        <v>1</v>
      </c>
      <c r="I58" s="31">
        <f t="shared" ref="I58" si="25">PRODUCT(E58:H58)</f>
        <v>18.239999999999995</v>
      </c>
      <c r="J58" s="31">
        <f t="shared" ref="J58" si="26">I58*D58</f>
        <v>18.239999999999995</v>
      </c>
      <c r="K58" s="5"/>
    </row>
    <row r="59" spans="1:11" outlineLevel="1">
      <c r="A59" s="2"/>
      <c r="B59" s="2"/>
      <c r="C59" s="2"/>
      <c r="D59" s="2"/>
      <c r="E59" s="2"/>
      <c r="F59" s="2"/>
      <c r="G59" s="2"/>
      <c r="H59" s="2"/>
      <c r="I59" s="31"/>
      <c r="J59" s="31"/>
      <c r="K59" s="2"/>
    </row>
    <row r="60" spans="1:11">
      <c r="A60" s="3">
        <v>8</v>
      </c>
      <c r="B60" s="3" t="s">
        <v>47</v>
      </c>
      <c r="C60" s="3"/>
      <c r="D60" s="3"/>
      <c r="E60" s="3"/>
      <c r="F60" s="3"/>
      <c r="G60" s="3"/>
      <c r="H60" s="3"/>
      <c r="I60" s="30"/>
      <c r="J60" s="30">
        <f>SUM(J61:J63)*2</f>
        <v>13.780000000000001</v>
      </c>
      <c r="K60" s="3"/>
    </row>
    <row r="61" spans="1:11" outlineLevel="1">
      <c r="A61" s="2"/>
      <c r="B61" s="2" t="s">
        <v>97</v>
      </c>
      <c r="C61" s="2"/>
      <c r="D61" s="2">
        <v>1</v>
      </c>
      <c r="E61" s="2">
        <v>1.32</v>
      </c>
      <c r="F61" s="2">
        <v>0.15</v>
      </c>
      <c r="G61" s="2">
        <v>2.2000000000000002</v>
      </c>
      <c r="H61" s="2">
        <v>5</v>
      </c>
      <c r="I61" s="31">
        <f>(E61+G61*2)*H61*F61</f>
        <v>4.29</v>
      </c>
      <c r="J61" s="31">
        <f>I61*D61</f>
        <v>4.29</v>
      </c>
      <c r="K61" s="2"/>
    </row>
    <row r="62" spans="1:11" outlineLevel="1">
      <c r="A62" s="2"/>
      <c r="B62" s="2"/>
      <c r="C62" s="2"/>
      <c r="D62" s="2">
        <v>1</v>
      </c>
      <c r="E62" s="2">
        <v>0.8</v>
      </c>
      <c r="F62" s="2">
        <v>0.25</v>
      </c>
      <c r="G62" s="2">
        <v>2.2000000000000002</v>
      </c>
      <c r="H62" s="2">
        <v>2</v>
      </c>
      <c r="I62" s="31">
        <f>(E62+G62*2)*H62*F62</f>
        <v>2.6</v>
      </c>
      <c r="J62" s="31">
        <f>I62*D62</f>
        <v>2.6</v>
      </c>
      <c r="K62" s="2"/>
    </row>
    <row r="63" spans="1:11" outlineLevel="1">
      <c r="A63" s="2"/>
      <c r="B63" s="2"/>
      <c r="C63" s="2"/>
      <c r="D63" s="2"/>
      <c r="E63" s="2"/>
      <c r="F63" s="2"/>
      <c r="G63" s="2"/>
      <c r="H63" s="2"/>
      <c r="I63" s="31"/>
      <c r="J63" s="31"/>
      <c r="K63" s="2"/>
    </row>
    <row r="64" spans="1:11">
      <c r="A64" s="3">
        <v>9</v>
      </c>
      <c r="B64" s="3" t="s">
        <v>98</v>
      </c>
      <c r="C64" s="3"/>
      <c r="D64" s="3"/>
      <c r="E64" s="3"/>
      <c r="F64" s="3"/>
      <c r="G64" s="3"/>
      <c r="H64" s="3"/>
      <c r="I64" s="30"/>
      <c r="J64" s="30">
        <f>SUM(J65:J69)*2</f>
        <v>0</v>
      </c>
      <c r="K64" s="3"/>
    </row>
    <row r="65" spans="1:11" outlineLevel="1">
      <c r="A65" s="2"/>
      <c r="B65" s="37" t="s">
        <v>97</v>
      </c>
      <c r="C65" s="38"/>
      <c r="D65" s="38">
        <v>1</v>
      </c>
      <c r="E65" s="38">
        <v>1.3</v>
      </c>
      <c r="F65" s="38">
        <v>0.28000000000000003</v>
      </c>
      <c r="G65" s="38"/>
      <c r="H65" s="38">
        <v>9</v>
      </c>
      <c r="I65" s="31">
        <f>PRODUCT(E65:H65)</f>
        <v>3.2760000000000002</v>
      </c>
      <c r="J65" s="31"/>
      <c r="K65" s="2"/>
    </row>
    <row r="66" spans="1:11" outlineLevel="1">
      <c r="A66" s="2"/>
      <c r="B66" s="37"/>
      <c r="C66" s="38"/>
      <c r="D66" s="38">
        <v>1</v>
      </c>
      <c r="E66" s="38">
        <v>1.3</v>
      </c>
      <c r="F66" s="38"/>
      <c r="G66" s="38">
        <v>0.17</v>
      </c>
      <c r="H66" s="38">
        <v>9</v>
      </c>
      <c r="I66" s="31">
        <f>PRODUCT(E66:H66)</f>
        <v>1.9890000000000003</v>
      </c>
      <c r="J66" s="31"/>
      <c r="K66" s="2"/>
    </row>
    <row r="67" spans="1:11" outlineLevel="1">
      <c r="A67" s="2"/>
      <c r="B67" s="37" t="s">
        <v>95</v>
      </c>
      <c r="C67" s="38"/>
      <c r="D67" s="38">
        <v>1</v>
      </c>
      <c r="E67" s="38">
        <v>1.3</v>
      </c>
      <c r="F67" s="38">
        <v>0.28000000000000003</v>
      </c>
      <c r="G67" s="38"/>
      <c r="H67" s="38">
        <v>9</v>
      </c>
      <c r="I67" s="31">
        <f>PRODUCT(E67:H67)</f>
        <v>3.2760000000000002</v>
      </c>
      <c r="J67" s="31"/>
      <c r="K67" s="2"/>
    </row>
    <row r="68" spans="1:11" outlineLevel="1">
      <c r="A68" s="2"/>
      <c r="B68" s="37"/>
      <c r="C68" s="38"/>
      <c r="D68" s="38">
        <v>1</v>
      </c>
      <c r="E68" s="38">
        <v>1.3</v>
      </c>
      <c r="F68" s="38"/>
      <c r="G68" s="38">
        <v>0.17</v>
      </c>
      <c r="H68" s="38">
        <v>9</v>
      </c>
      <c r="I68" s="31">
        <f>PRODUCT(E68:H68)</f>
        <v>1.9890000000000003</v>
      </c>
      <c r="J68" s="31"/>
      <c r="K68" s="2"/>
    </row>
    <row r="69" spans="1:11" outlineLevel="1">
      <c r="A69" s="2"/>
      <c r="B69" s="2"/>
      <c r="C69" s="2"/>
      <c r="D69" s="2"/>
      <c r="E69" s="2"/>
      <c r="F69" s="2"/>
      <c r="G69" s="2"/>
      <c r="H69" s="2"/>
      <c r="I69" s="31"/>
      <c r="J69" s="31"/>
      <c r="K69" s="2"/>
    </row>
    <row r="70" spans="1:11">
      <c r="A70" s="3">
        <v>10</v>
      </c>
      <c r="B70" s="3" t="s">
        <v>99</v>
      </c>
      <c r="C70" s="3"/>
      <c r="D70" s="3"/>
      <c r="E70" s="3"/>
      <c r="F70" s="3"/>
      <c r="G70" s="3"/>
      <c r="H70" s="3"/>
      <c r="I70" s="30"/>
      <c r="J70" s="30">
        <f>SUM(J71:J75)*2</f>
        <v>0</v>
      </c>
      <c r="K70" s="3"/>
    </row>
    <row r="71" spans="1:11" outlineLevel="1">
      <c r="A71" s="2"/>
      <c r="B71" s="37" t="s">
        <v>97</v>
      </c>
      <c r="C71" s="38"/>
      <c r="D71" s="38"/>
      <c r="E71" s="41"/>
      <c r="F71" s="38"/>
      <c r="G71" s="38"/>
      <c r="H71" s="38"/>
      <c r="I71" s="31"/>
      <c r="J71" s="31"/>
      <c r="K71" s="2"/>
    </row>
    <row r="72" spans="1:11" outlineLevel="1">
      <c r="A72" s="2"/>
      <c r="B72" s="40" t="s">
        <v>100</v>
      </c>
      <c r="C72" s="38"/>
      <c r="D72" s="38">
        <v>1</v>
      </c>
      <c r="E72" s="41">
        <f>SQRT(2.25^2+1.6^2)</f>
        <v>2.7608875384557048</v>
      </c>
      <c r="F72" s="38">
        <v>1.3</v>
      </c>
      <c r="G72" s="38"/>
      <c r="H72" s="38">
        <v>1</v>
      </c>
      <c r="I72" s="31">
        <f>PRODUCT(E72:H72)</f>
        <v>3.5891537999924163</v>
      </c>
      <c r="J72" s="31"/>
      <c r="K72" s="2"/>
    </row>
    <row r="73" spans="1:11" outlineLevel="1">
      <c r="A73" s="2"/>
      <c r="B73" s="37" t="s">
        <v>97</v>
      </c>
      <c r="C73" s="38"/>
      <c r="D73" s="38"/>
      <c r="E73" s="41"/>
      <c r="F73" s="38"/>
      <c r="G73" s="38"/>
      <c r="H73" s="38"/>
      <c r="I73" s="31"/>
      <c r="J73" s="31"/>
      <c r="K73" s="2"/>
    </row>
    <row r="74" spans="1:11" outlineLevel="1">
      <c r="A74" s="2"/>
      <c r="B74" s="40" t="s">
        <v>100</v>
      </c>
      <c r="C74" s="38"/>
      <c r="D74" s="38">
        <v>1</v>
      </c>
      <c r="E74" s="41">
        <f>SQRT(2.25^2+1.6^2)</f>
        <v>2.7608875384557048</v>
      </c>
      <c r="F74" s="38">
        <v>1.3</v>
      </c>
      <c r="G74" s="38"/>
      <c r="H74" s="38">
        <v>1</v>
      </c>
      <c r="I74" s="31">
        <f>PRODUCT(E74:H74)</f>
        <v>3.5891537999924163</v>
      </c>
      <c r="J74" s="31"/>
      <c r="K74" s="2"/>
    </row>
    <row r="75" spans="1:11" outlineLevel="1">
      <c r="A75" s="2"/>
      <c r="B75" s="2"/>
      <c r="C75" s="2"/>
      <c r="D75" s="2"/>
      <c r="E75" s="2"/>
      <c r="F75" s="2"/>
      <c r="G75" s="2"/>
      <c r="H75" s="2"/>
      <c r="I75" s="31"/>
      <c r="J75" s="31"/>
      <c r="K75" s="2"/>
    </row>
    <row r="76" spans="1:11">
      <c r="A76" s="3">
        <v>11</v>
      </c>
      <c r="B76" s="3" t="s">
        <v>48</v>
      </c>
      <c r="C76" s="3"/>
      <c r="D76" s="3"/>
      <c r="E76" s="3"/>
      <c r="F76" s="3"/>
      <c r="G76" s="3"/>
      <c r="H76" s="3"/>
      <c r="I76" s="30"/>
      <c r="J76" s="30">
        <f>SUM(J77:J95)*2</f>
        <v>256.154</v>
      </c>
      <c r="K76" s="2"/>
    </row>
    <row r="77" spans="1:11" outlineLevel="1">
      <c r="A77" s="2"/>
      <c r="B77" s="2" t="s">
        <v>139</v>
      </c>
      <c r="C77" s="2"/>
      <c r="D77" s="2">
        <v>1</v>
      </c>
      <c r="E77" s="2">
        <v>2.2999999999999998</v>
      </c>
      <c r="F77" s="2">
        <f>0.4-0.15</f>
        <v>0.25</v>
      </c>
      <c r="G77" s="2"/>
      <c r="H77" s="2">
        <v>1</v>
      </c>
      <c r="I77" s="31">
        <f t="shared" ref="I77:I89" si="27">PRODUCT(E77:H77)</f>
        <v>0.57499999999999996</v>
      </c>
      <c r="J77" s="31">
        <f t="shared" ref="J77:J92" si="28">I77*D77</f>
        <v>0.57499999999999996</v>
      </c>
      <c r="K77" s="2"/>
    </row>
    <row r="78" spans="1:11" outlineLevel="1">
      <c r="A78" s="2"/>
      <c r="B78" s="6"/>
      <c r="C78" s="2"/>
      <c r="D78" s="2">
        <v>1</v>
      </c>
      <c r="E78" s="2">
        <v>4.3600000000000003</v>
      </c>
      <c r="F78" s="2">
        <f>0.6-0.15</f>
        <v>0.44999999999999996</v>
      </c>
      <c r="G78" s="2"/>
      <c r="H78" s="2">
        <v>1</v>
      </c>
      <c r="I78" s="31">
        <f t="shared" si="27"/>
        <v>1.962</v>
      </c>
      <c r="J78" s="31">
        <f t="shared" si="28"/>
        <v>1.962</v>
      </c>
      <c r="K78" s="2"/>
    </row>
    <row r="79" spans="1:11" outlineLevel="1">
      <c r="A79" s="2"/>
      <c r="B79" s="6"/>
      <c r="C79" s="2"/>
      <c r="D79" s="2">
        <v>1</v>
      </c>
      <c r="E79" s="2">
        <v>2.8</v>
      </c>
      <c r="F79" s="2">
        <f t="shared" ref="F79:F88" si="29">0.4-0.15</f>
        <v>0.25</v>
      </c>
      <c r="G79" s="2"/>
      <c r="H79" s="2">
        <v>1</v>
      </c>
      <c r="I79" s="31">
        <f t="shared" si="27"/>
        <v>0.7</v>
      </c>
      <c r="J79" s="31">
        <f t="shared" si="28"/>
        <v>0.7</v>
      </c>
      <c r="K79" s="2"/>
    </row>
    <row r="80" spans="1:11" outlineLevel="1">
      <c r="A80" s="2"/>
      <c r="B80" s="2"/>
      <c r="C80" s="2"/>
      <c r="D80" s="2">
        <v>1</v>
      </c>
      <c r="E80" s="2">
        <v>2.75</v>
      </c>
      <c r="F80" s="2">
        <f t="shared" si="29"/>
        <v>0.25</v>
      </c>
      <c r="G80" s="2"/>
      <c r="H80" s="2">
        <v>2</v>
      </c>
      <c r="I80" s="31">
        <f t="shared" si="27"/>
        <v>1.375</v>
      </c>
      <c r="J80" s="31">
        <f t="shared" si="28"/>
        <v>1.375</v>
      </c>
      <c r="K80" s="2"/>
    </row>
    <row r="81" spans="1:11" outlineLevel="1">
      <c r="A81" s="2"/>
      <c r="B81" s="2"/>
      <c r="C81" s="2"/>
      <c r="D81" s="2">
        <v>1</v>
      </c>
      <c r="E81" s="2">
        <v>1.35</v>
      </c>
      <c r="F81" s="2">
        <f t="shared" si="29"/>
        <v>0.25</v>
      </c>
      <c r="G81" s="2"/>
      <c r="H81" s="2">
        <v>1</v>
      </c>
      <c r="I81" s="31">
        <f t="shared" ref="I81" si="30">PRODUCT(E81:H81)</f>
        <v>0.33750000000000002</v>
      </c>
      <c r="J81" s="31">
        <f t="shared" ref="J81" si="31">I81*D81</f>
        <v>0.33750000000000002</v>
      </c>
      <c r="K81" s="2"/>
    </row>
    <row r="82" spans="1:11" outlineLevel="1">
      <c r="A82" s="2"/>
      <c r="B82" s="2"/>
      <c r="C82" s="2"/>
      <c r="D82" s="2">
        <v>1</v>
      </c>
      <c r="E82" s="2">
        <v>1.2</v>
      </c>
      <c r="F82" s="2">
        <f t="shared" si="29"/>
        <v>0.25</v>
      </c>
      <c r="G82" s="2"/>
      <c r="H82" s="2">
        <v>1</v>
      </c>
      <c r="I82" s="31">
        <f t="shared" ref="I82" si="32">PRODUCT(E82:H82)</f>
        <v>0.3</v>
      </c>
      <c r="J82" s="31">
        <f t="shared" ref="J82" si="33">I82*D82</f>
        <v>0.3</v>
      </c>
      <c r="K82" s="2"/>
    </row>
    <row r="83" spans="1:11" outlineLevel="1">
      <c r="A83" s="2"/>
      <c r="B83" s="2"/>
      <c r="C83" s="2"/>
      <c r="D83" s="2">
        <v>1</v>
      </c>
      <c r="E83" s="2">
        <v>16.5</v>
      </c>
      <c r="F83" s="2">
        <f>0.6-0.15</f>
        <v>0.44999999999999996</v>
      </c>
      <c r="G83" s="2"/>
      <c r="H83" s="2">
        <v>1</v>
      </c>
      <c r="I83" s="31">
        <f t="shared" ref="I83" si="34">PRODUCT(E83:H83)</f>
        <v>7.4249999999999989</v>
      </c>
      <c r="J83" s="31">
        <f t="shared" ref="J83" si="35">I83*D83</f>
        <v>7.4249999999999989</v>
      </c>
      <c r="K83" s="2"/>
    </row>
    <row r="84" spans="1:11" outlineLevel="1">
      <c r="A84" s="2"/>
      <c r="B84" s="2" t="s">
        <v>102</v>
      </c>
      <c r="C84" s="2"/>
      <c r="D84" s="2">
        <v>1</v>
      </c>
      <c r="E84" s="2">
        <v>1.875</v>
      </c>
      <c r="F84" s="2">
        <f t="shared" si="29"/>
        <v>0.25</v>
      </c>
      <c r="G84" s="2"/>
      <c r="H84" s="2">
        <v>2</v>
      </c>
      <c r="I84" s="31">
        <f t="shared" si="27"/>
        <v>0.9375</v>
      </c>
      <c r="J84" s="31">
        <f t="shared" si="28"/>
        <v>0.9375</v>
      </c>
      <c r="K84" s="2"/>
    </row>
    <row r="85" spans="1:11" outlineLevel="1">
      <c r="A85" s="2"/>
      <c r="B85" s="6"/>
      <c r="C85" s="2"/>
      <c r="D85" s="2">
        <v>1</v>
      </c>
      <c r="E85" s="2">
        <v>3</v>
      </c>
      <c r="F85" s="2">
        <f t="shared" si="29"/>
        <v>0.25</v>
      </c>
      <c r="G85" s="2"/>
      <c r="H85" s="2">
        <v>1</v>
      </c>
      <c r="I85" s="31">
        <f t="shared" si="27"/>
        <v>0.75</v>
      </c>
      <c r="J85" s="31">
        <f t="shared" si="28"/>
        <v>0.75</v>
      </c>
      <c r="K85" s="2"/>
    </row>
    <row r="86" spans="1:11" outlineLevel="1">
      <c r="A86" s="2"/>
      <c r="B86" s="6"/>
      <c r="C86" s="2"/>
      <c r="D86" s="2">
        <v>1</v>
      </c>
      <c r="E86" s="2">
        <v>4.6100000000000003</v>
      </c>
      <c r="F86" s="2">
        <f>0.6-0.15</f>
        <v>0.44999999999999996</v>
      </c>
      <c r="G86" s="2"/>
      <c r="H86" s="2">
        <v>1</v>
      </c>
      <c r="I86" s="31">
        <f t="shared" si="27"/>
        <v>2.0745</v>
      </c>
      <c r="J86" s="31">
        <f t="shared" si="28"/>
        <v>2.0745</v>
      </c>
      <c r="K86" s="2"/>
    </row>
    <row r="87" spans="1:11" outlineLevel="1">
      <c r="A87" s="2"/>
      <c r="B87" s="6"/>
      <c r="C87" s="2"/>
      <c r="D87" s="2">
        <v>1</v>
      </c>
      <c r="E87" s="2">
        <v>5.59</v>
      </c>
      <c r="F87" s="2">
        <f>0.6-0.15</f>
        <v>0.44999999999999996</v>
      </c>
      <c r="G87" s="2"/>
      <c r="H87" s="2">
        <v>1</v>
      </c>
      <c r="I87" s="31">
        <f t="shared" si="27"/>
        <v>2.5154999999999998</v>
      </c>
      <c r="J87" s="31">
        <f t="shared" si="28"/>
        <v>2.5154999999999998</v>
      </c>
      <c r="K87" s="2"/>
    </row>
    <row r="88" spans="1:11" outlineLevel="1">
      <c r="A88" s="2"/>
      <c r="B88" s="6"/>
      <c r="C88" s="2"/>
      <c r="D88" s="2">
        <v>1</v>
      </c>
      <c r="E88" s="2">
        <v>2.7</v>
      </c>
      <c r="F88" s="2">
        <f t="shared" si="29"/>
        <v>0.25</v>
      </c>
      <c r="G88" s="2"/>
      <c r="H88" s="2">
        <v>1</v>
      </c>
      <c r="I88" s="31">
        <f t="shared" si="27"/>
        <v>0.67500000000000004</v>
      </c>
      <c r="J88" s="31">
        <f t="shared" si="28"/>
        <v>0.67500000000000004</v>
      </c>
      <c r="K88" s="2"/>
    </row>
    <row r="89" spans="1:11" outlineLevel="1">
      <c r="A89" s="2"/>
      <c r="B89" s="2" t="s">
        <v>140</v>
      </c>
      <c r="C89" s="2"/>
      <c r="D89" s="2">
        <v>1</v>
      </c>
      <c r="E89" s="2">
        <v>88</v>
      </c>
      <c r="F89" s="2"/>
      <c r="G89" s="2"/>
      <c r="H89" s="2">
        <v>1</v>
      </c>
      <c r="I89" s="31">
        <f t="shared" si="27"/>
        <v>88</v>
      </c>
      <c r="J89" s="31">
        <f t="shared" si="28"/>
        <v>88</v>
      </c>
      <c r="K89" s="2"/>
    </row>
    <row r="90" spans="1:11" outlineLevel="1">
      <c r="A90" s="2"/>
      <c r="B90" s="6"/>
      <c r="C90" s="2"/>
      <c r="D90" s="2">
        <v>1</v>
      </c>
      <c r="E90" s="2">
        <v>23</v>
      </c>
      <c r="F90" s="2"/>
      <c r="G90" s="2"/>
      <c r="H90" s="2">
        <v>1</v>
      </c>
      <c r="I90" s="31">
        <f t="shared" ref="I90" si="36">PRODUCT(E90:H90)</f>
        <v>23</v>
      </c>
      <c r="J90" s="31"/>
      <c r="K90" s="2"/>
    </row>
    <row r="91" spans="1:11" outlineLevel="1">
      <c r="A91" s="2"/>
      <c r="B91" s="6"/>
      <c r="C91" s="2"/>
      <c r="D91" s="2">
        <v>1</v>
      </c>
      <c r="E91" s="2">
        <v>24.225000000000001</v>
      </c>
      <c r="F91" s="2"/>
      <c r="G91" s="2"/>
      <c r="H91" s="2">
        <v>1</v>
      </c>
      <c r="I91" s="31">
        <f t="shared" ref="I91" si="37">PRODUCT(E91:H91)</f>
        <v>24.225000000000001</v>
      </c>
      <c r="J91" s="31"/>
      <c r="K91" s="2"/>
    </row>
    <row r="92" spans="1:11" outlineLevel="1">
      <c r="A92" s="2"/>
      <c r="B92" s="2" t="s">
        <v>141</v>
      </c>
      <c r="C92" s="2"/>
      <c r="D92" s="2">
        <v>1</v>
      </c>
      <c r="E92" s="2">
        <v>20.45</v>
      </c>
      <c r="F92" s="2"/>
      <c r="G92" s="2"/>
      <c r="H92" s="2">
        <v>1</v>
      </c>
      <c r="I92" s="31">
        <f t="shared" ref="I92" si="38">PRODUCT(E92:H92)</f>
        <v>20.45</v>
      </c>
      <c r="J92" s="31">
        <f t="shared" si="28"/>
        <v>20.45</v>
      </c>
      <c r="K92" s="2"/>
    </row>
    <row r="93" spans="1:11" outlineLevel="1">
      <c r="A93" s="2"/>
      <c r="B93" s="6"/>
      <c r="C93" s="2"/>
      <c r="D93" s="2">
        <v>1</v>
      </c>
      <c r="E93" s="2">
        <v>17.23</v>
      </c>
      <c r="F93" s="2"/>
      <c r="G93" s="2"/>
      <c r="H93" s="2">
        <v>1</v>
      </c>
      <c r="I93" s="31">
        <f t="shared" ref="I93" si="39">PRODUCT(E93:H93)</f>
        <v>17.23</v>
      </c>
      <c r="J93" s="31"/>
      <c r="K93" s="2"/>
    </row>
    <row r="94" spans="1:11" outlineLevel="1">
      <c r="A94" s="2"/>
      <c r="B94" s="6"/>
      <c r="C94" s="2"/>
      <c r="D94" s="2"/>
      <c r="E94" s="2"/>
      <c r="F94" s="2"/>
      <c r="G94" s="2"/>
      <c r="H94" s="2"/>
      <c r="I94" s="31"/>
      <c r="J94" s="31"/>
      <c r="K94" s="2"/>
    </row>
    <row r="95" spans="1:11" outlineLevel="1">
      <c r="A95" s="2"/>
      <c r="B95" s="6"/>
      <c r="C95" s="2"/>
      <c r="D95" s="2"/>
      <c r="E95" s="2"/>
      <c r="F95" s="2"/>
      <c r="G95" s="2"/>
      <c r="H95" s="2"/>
      <c r="I95" s="31"/>
      <c r="J95" s="31"/>
      <c r="K95" s="2"/>
    </row>
    <row r="96" spans="1:11" ht="29.25">
      <c r="A96" s="3">
        <v>13</v>
      </c>
      <c r="B96" s="32" t="s">
        <v>30</v>
      </c>
      <c r="C96" s="3"/>
      <c r="D96" s="3"/>
      <c r="E96" s="3"/>
      <c r="F96" s="3"/>
      <c r="G96" s="3"/>
      <c r="H96" s="3"/>
      <c r="I96" s="30"/>
      <c r="J96" s="30">
        <f>SUM(J97:J98)*2</f>
        <v>0.38700000000000001</v>
      </c>
      <c r="K96" s="2"/>
    </row>
    <row r="97" spans="1:11" outlineLevel="1">
      <c r="A97" s="2"/>
      <c r="B97" s="2"/>
      <c r="C97" s="2"/>
      <c r="D97" s="2">
        <v>1</v>
      </c>
      <c r="E97" s="2">
        <f>1.32+0.2*2</f>
        <v>1.7200000000000002</v>
      </c>
      <c r="F97" s="2">
        <v>0.15</v>
      </c>
      <c r="G97" s="2">
        <v>0.15</v>
      </c>
      <c r="H97" s="2">
        <v>5</v>
      </c>
      <c r="I97" s="31">
        <f>PRODUCT(E97:H97)</f>
        <v>0.19350000000000001</v>
      </c>
      <c r="J97" s="31">
        <f>I97*D97</f>
        <v>0.19350000000000001</v>
      </c>
      <c r="K97" s="2"/>
    </row>
    <row r="98" spans="1:11" outlineLevel="1">
      <c r="A98" s="2"/>
      <c r="B98" s="2"/>
      <c r="C98" s="2"/>
      <c r="D98" s="2"/>
      <c r="E98" s="2"/>
      <c r="F98" s="2"/>
      <c r="G98" s="2"/>
      <c r="H98" s="2"/>
      <c r="I98" s="31"/>
      <c r="J98" s="31"/>
      <c r="K98" s="2"/>
    </row>
    <row r="99" spans="1:11">
      <c r="A99" s="3">
        <v>14</v>
      </c>
      <c r="B99" s="32" t="s">
        <v>31</v>
      </c>
      <c r="C99" s="3"/>
      <c r="D99" s="3"/>
      <c r="E99" s="3"/>
      <c r="F99" s="3"/>
      <c r="G99" s="3"/>
      <c r="H99" s="3"/>
      <c r="I99" s="30"/>
      <c r="J99" s="30">
        <f>SUM(J100:J103)*2</f>
        <v>7.74</v>
      </c>
      <c r="K99" s="2"/>
    </row>
    <row r="100" spans="1:11" outlineLevel="1">
      <c r="A100" s="2"/>
      <c r="B100" s="2"/>
      <c r="C100" s="2"/>
      <c r="D100" s="2">
        <v>1</v>
      </c>
      <c r="E100" s="2">
        <f>1.32+0.2*2</f>
        <v>1.7200000000000002</v>
      </c>
      <c r="F100" s="2">
        <v>0.15</v>
      </c>
      <c r="G100" s="2">
        <v>0.15</v>
      </c>
      <c r="H100" s="2">
        <v>5</v>
      </c>
      <c r="I100" s="31">
        <f>(E100*F100+E100*G100*2)*H100</f>
        <v>3.87</v>
      </c>
      <c r="J100" s="31">
        <f>I100*D100</f>
        <v>3.87</v>
      </c>
      <c r="K100" s="2"/>
    </row>
    <row r="101" spans="1:11" outlineLevel="1">
      <c r="A101" s="2"/>
      <c r="B101" s="2"/>
      <c r="C101" s="2"/>
      <c r="D101" s="2"/>
      <c r="E101" s="2"/>
      <c r="F101" s="2"/>
      <c r="G101" s="2"/>
      <c r="H101" s="2"/>
      <c r="I101" s="31"/>
      <c r="J101" s="31"/>
      <c r="K101" s="2"/>
    </row>
    <row r="102" spans="1:11" outlineLevel="1">
      <c r="A102" s="2"/>
      <c r="B102" s="2"/>
      <c r="C102" s="2"/>
      <c r="D102" s="2"/>
      <c r="E102" s="2"/>
      <c r="F102" s="2"/>
      <c r="G102" s="2"/>
      <c r="H102" s="2"/>
      <c r="I102" s="31"/>
      <c r="J102" s="31"/>
      <c r="K102" s="2"/>
    </row>
    <row r="103" spans="1:11" outlineLevel="1">
      <c r="A103" s="2"/>
      <c r="B103" s="2"/>
      <c r="C103" s="2"/>
      <c r="D103" s="2"/>
      <c r="E103" s="2"/>
      <c r="F103" s="2"/>
      <c r="G103" s="2"/>
      <c r="H103" s="2"/>
      <c r="I103" s="31"/>
      <c r="J103" s="31"/>
      <c r="K103" s="2"/>
    </row>
    <row r="104" spans="1:11">
      <c r="A104" s="3">
        <v>15</v>
      </c>
      <c r="B104" s="32" t="s">
        <v>32</v>
      </c>
      <c r="C104" s="3"/>
      <c r="D104" s="3"/>
      <c r="E104" s="3"/>
      <c r="F104" s="3"/>
      <c r="G104" s="3"/>
      <c r="H104" s="3"/>
      <c r="I104" s="30"/>
      <c r="J104" s="30">
        <f>J96*100</f>
        <v>38.700000000000003</v>
      </c>
      <c r="K104" s="2"/>
    </row>
    <row r="105" spans="1:11" outlineLevel="1">
      <c r="A105" s="2"/>
      <c r="B105" s="2"/>
      <c r="C105" s="2"/>
      <c r="D105" s="2"/>
      <c r="E105" s="2"/>
      <c r="F105" s="2"/>
      <c r="G105" s="2"/>
      <c r="H105" s="2"/>
      <c r="I105" s="31"/>
      <c r="J105" s="31"/>
      <c r="K105" s="2"/>
    </row>
    <row r="106" spans="1:11" ht="29.25">
      <c r="A106" s="3">
        <v>17</v>
      </c>
      <c r="B106" s="32" t="s">
        <v>49</v>
      </c>
      <c r="C106" s="3"/>
      <c r="D106" s="3"/>
      <c r="E106" s="3"/>
      <c r="F106" s="3"/>
      <c r="G106" s="3"/>
      <c r="H106" s="3"/>
      <c r="I106" s="30"/>
      <c r="J106" s="30">
        <f>SUM(J107:J123)*2</f>
        <v>59.463999999999999</v>
      </c>
      <c r="K106" s="2"/>
    </row>
    <row r="107" spans="1:11" outlineLevel="1">
      <c r="A107" s="2"/>
      <c r="B107" s="2" t="s">
        <v>97</v>
      </c>
      <c r="C107" s="2"/>
      <c r="D107" s="2"/>
      <c r="E107" s="2"/>
      <c r="F107" s="2"/>
      <c r="G107" s="2"/>
      <c r="H107" s="2"/>
      <c r="I107" s="31"/>
      <c r="J107" s="31"/>
      <c r="K107" s="2"/>
    </row>
    <row r="108" spans="1:11" outlineLevel="1">
      <c r="A108" s="2"/>
      <c r="B108" s="6" t="s">
        <v>104</v>
      </c>
      <c r="C108" s="2"/>
      <c r="D108" s="2">
        <v>1</v>
      </c>
      <c r="E108" s="2">
        <v>1.85</v>
      </c>
      <c r="F108" s="2">
        <v>0.2</v>
      </c>
      <c r="G108" s="2"/>
      <c r="H108" s="2">
        <v>2</v>
      </c>
      <c r="I108" s="31">
        <f t="shared" ref="I108:I113" si="40">PRODUCT(E108:H108)</f>
        <v>0.7400000000000001</v>
      </c>
      <c r="J108" s="31">
        <f t="shared" ref="J108:J113" si="41">I108*D108</f>
        <v>0.7400000000000001</v>
      </c>
      <c r="K108" s="2"/>
    </row>
    <row r="109" spans="1:11" outlineLevel="1">
      <c r="A109" s="2"/>
      <c r="B109" s="2"/>
      <c r="C109" s="2"/>
      <c r="D109" s="2">
        <v>1</v>
      </c>
      <c r="E109" s="2">
        <v>3</v>
      </c>
      <c r="F109" s="2">
        <v>0.2</v>
      </c>
      <c r="G109" s="2"/>
      <c r="H109" s="2">
        <v>1</v>
      </c>
      <c r="I109" s="31">
        <f t="shared" si="40"/>
        <v>0.60000000000000009</v>
      </c>
      <c r="J109" s="31">
        <f t="shared" si="41"/>
        <v>0.60000000000000009</v>
      </c>
      <c r="K109" s="2"/>
    </row>
    <row r="110" spans="1:11" outlineLevel="1">
      <c r="A110" s="2"/>
      <c r="B110" s="2"/>
      <c r="C110" s="2"/>
      <c r="D110" s="2">
        <v>1</v>
      </c>
      <c r="E110" s="2">
        <v>4.6100000000000003</v>
      </c>
      <c r="F110" s="2">
        <v>0.2</v>
      </c>
      <c r="G110" s="2"/>
      <c r="H110" s="2">
        <v>1</v>
      </c>
      <c r="I110" s="31">
        <f t="shared" si="40"/>
        <v>0.92200000000000015</v>
      </c>
      <c r="J110" s="31">
        <f t="shared" si="41"/>
        <v>0.92200000000000015</v>
      </c>
      <c r="K110" s="2"/>
    </row>
    <row r="111" spans="1:11" outlineLevel="1">
      <c r="A111" s="2"/>
      <c r="B111" s="2"/>
      <c r="C111" s="2"/>
      <c r="D111" s="2">
        <v>1</v>
      </c>
      <c r="E111" s="2">
        <v>4.59</v>
      </c>
      <c r="F111" s="2">
        <v>0.2</v>
      </c>
      <c r="G111" s="2"/>
      <c r="H111" s="2">
        <v>1</v>
      </c>
      <c r="I111" s="31">
        <f t="shared" si="40"/>
        <v>0.91800000000000004</v>
      </c>
      <c r="J111" s="31">
        <f t="shared" si="41"/>
        <v>0.91800000000000004</v>
      </c>
      <c r="K111" s="2"/>
    </row>
    <row r="112" spans="1:11" outlineLevel="1">
      <c r="A112" s="2"/>
      <c r="B112" s="2"/>
      <c r="C112" s="2"/>
      <c r="D112" s="2">
        <v>1</v>
      </c>
      <c r="E112" s="2">
        <v>2.7</v>
      </c>
      <c r="F112" s="2">
        <v>0.2</v>
      </c>
      <c r="G112" s="2"/>
      <c r="H112" s="2">
        <v>1</v>
      </c>
      <c r="I112" s="31">
        <f t="shared" si="40"/>
        <v>0.54</v>
      </c>
      <c r="J112" s="31">
        <f t="shared" si="41"/>
        <v>0.54</v>
      </c>
      <c r="K112" s="2"/>
    </row>
    <row r="113" spans="1:11" outlineLevel="1">
      <c r="A113" s="2"/>
      <c r="B113" s="6" t="s">
        <v>105</v>
      </c>
      <c r="C113" s="2"/>
      <c r="D113" s="2">
        <v>1</v>
      </c>
      <c r="E113" s="2">
        <f>5-0.4</f>
        <v>4.5999999999999996</v>
      </c>
      <c r="F113" s="2">
        <v>0.2</v>
      </c>
      <c r="G113" s="2"/>
      <c r="H113" s="2">
        <v>6</v>
      </c>
      <c r="I113" s="31">
        <f t="shared" si="40"/>
        <v>5.52</v>
      </c>
      <c r="J113" s="31">
        <f t="shared" si="41"/>
        <v>5.52</v>
      </c>
      <c r="K113" s="2"/>
    </row>
    <row r="114" spans="1:11" outlineLevel="1">
      <c r="A114" s="2"/>
      <c r="B114" s="2" t="s">
        <v>139</v>
      </c>
      <c r="C114" s="2"/>
      <c r="D114" s="2"/>
      <c r="E114" s="2"/>
      <c r="F114" s="2"/>
      <c r="G114" s="2"/>
      <c r="H114" s="2"/>
      <c r="I114" s="31"/>
      <c r="J114" s="31"/>
      <c r="K114" s="2"/>
    </row>
    <row r="115" spans="1:11" outlineLevel="1">
      <c r="A115" s="2"/>
      <c r="B115" s="6" t="s">
        <v>104</v>
      </c>
      <c r="C115" s="2"/>
      <c r="D115" s="2">
        <v>1</v>
      </c>
      <c r="E115" s="2">
        <v>2.2999999999999998</v>
      </c>
      <c r="F115" s="2">
        <v>0.2</v>
      </c>
      <c r="G115" s="2"/>
      <c r="H115" s="2">
        <v>1</v>
      </c>
      <c r="I115" s="31">
        <f t="shared" ref="I115:I122" si="42">PRODUCT(E115:H115)</f>
        <v>0.45999999999999996</v>
      </c>
      <c r="J115" s="31">
        <f t="shared" ref="J115:J122" si="43">I115*D115</f>
        <v>0.45999999999999996</v>
      </c>
      <c r="K115" s="2"/>
    </row>
    <row r="116" spans="1:11" outlineLevel="1">
      <c r="A116" s="2"/>
      <c r="B116" s="2"/>
      <c r="C116" s="2"/>
      <c r="D116" s="2">
        <v>1</v>
      </c>
      <c r="E116" s="2">
        <v>4.3600000000000003</v>
      </c>
      <c r="F116" s="2">
        <v>0.2</v>
      </c>
      <c r="G116" s="2"/>
      <c r="H116" s="2">
        <v>1</v>
      </c>
      <c r="I116" s="31">
        <f t="shared" si="42"/>
        <v>0.87200000000000011</v>
      </c>
      <c r="J116" s="31">
        <f t="shared" si="43"/>
        <v>0.87200000000000011</v>
      </c>
      <c r="K116" s="2"/>
    </row>
    <row r="117" spans="1:11" outlineLevel="1">
      <c r="A117" s="2"/>
      <c r="B117" s="2"/>
      <c r="C117" s="2"/>
      <c r="D117" s="2">
        <v>1</v>
      </c>
      <c r="E117" s="2">
        <v>2.8</v>
      </c>
      <c r="F117" s="2">
        <v>0.2</v>
      </c>
      <c r="G117" s="2"/>
      <c r="H117" s="2">
        <v>1</v>
      </c>
      <c r="I117" s="31">
        <f t="shared" si="42"/>
        <v>0.55999999999999994</v>
      </c>
      <c r="J117" s="31">
        <f t="shared" si="43"/>
        <v>0.55999999999999994</v>
      </c>
      <c r="K117" s="2"/>
    </row>
    <row r="118" spans="1:11" outlineLevel="1">
      <c r="A118" s="2"/>
      <c r="B118" s="2"/>
      <c r="C118" s="2"/>
      <c r="D118" s="2">
        <v>1</v>
      </c>
      <c r="E118" s="2">
        <v>2.75</v>
      </c>
      <c r="F118" s="2">
        <v>0.2</v>
      </c>
      <c r="G118" s="2"/>
      <c r="H118" s="2">
        <v>2</v>
      </c>
      <c r="I118" s="31">
        <f t="shared" si="42"/>
        <v>1.1000000000000001</v>
      </c>
      <c r="J118" s="31">
        <f t="shared" si="43"/>
        <v>1.1000000000000001</v>
      </c>
      <c r="K118" s="2"/>
    </row>
    <row r="119" spans="1:11" outlineLevel="1">
      <c r="A119" s="2"/>
      <c r="B119" s="2"/>
      <c r="C119" s="2"/>
      <c r="D119" s="2">
        <v>1</v>
      </c>
      <c r="E119" s="2">
        <v>2.5</v>
      </c>
      <c r="F119" s="2">
        <v>0.2</v>
      </c>
      <c r="G119" s="2"/>
      <c r="H119" s="2">
        <v>2</v>
      </c>
      <c r="I119" s="31">
        <f t="shared" si="42"/>
        <v>1</v>
      </c>
      <c r="J119" s="31">
        <f t="shared" si="43"/>
        <v>1</v>
      </c>
      <c r="K119" s="2"/>
    </row>
    <row r="120" spans="1:11" outlineLevel="1">
      <c r="A120" s="2"/>
      <c r="B120" s="2"/>
      <c r="C120" s="2"/>
      <c r="D120" s="2">
        <v>1</v>
      </c>
      <c r="E120" s="2">
        <v>16.5</v>
      </c>
      <c r="F120" s="2">
        <v>0.2</v>
      </c>
      <c r="G120" s="2"/>
      <c r="H120" s="2">
        <v>1</v>
      </c>
      <c r="I120" s="31">
        <f t="shared" ref="I120" si="44">PRODUCT(E120:H120)</f>
        <v>3.3000000000000003</v>
      </c>
      <c r="J120" s="31">
        <f t="shared" ref="J120" si="45">I120*D120</f>
        <v>3.3000000000000003</v>
      </c>
      <c r="K120" s="2"/>
    </row>
    <row r="121" spans="1:11" outlineLevel="1">
      <c r="A121" s="2"/>
      <c r="B121" s="6" t="s">
        <v>105</v>
      </c>
      <c r="C121" s="2"/>
      <c r="D121" s="2">
        <v>1</v>
      </c>
      <c r="E121" s="2">
        <f>5-0.4</f>
        <v>4.5999999999999996</v>
      </c>
      <c r="F121" s="2">
        <v>0.2</v>
      </c>
      <c r="G121" s="2"/>
      <c r="H121" s="2">
        <v>6</v>
      </c>
      <c r="I121" s="31">
        <f t="shared" si="42"/>
        <v>5.52</v>
      </c>
      <c r="J121" s="31">
        <f t="shared" si="43"/>
        <v>5.52</v>
      </c>
      <c r="K121" s="2"/>
    </row>
    <row r="122" spans="1:11" outlineLevel="1">
      <c r="A122" s="2"/>
      <c r="B122" s="2"/>
      <c r="C122" s="2"/>
      <c r="D122" s="2">
        <v>1</v>
      </c>
      <c r="E122" s="2">
        <f>5-0.2</f>
        <v>4.8</v>
      </c>
      <c r="F122" s="2">
        <v>0.2</v>
      </c>
      <c r="G122" s="2"/>
      <c r="H122" s="2">
        <v>8</v>
      </c>
      <c r="I122" s="31">
        <f t="shared" si="42"/>
        <v>7.68</v>
      </c>
      <c r="J122" s="31">
        <f t="shared" si="43"/>
        <v>7.68</v>
      </c>
      <c r="K122" s="2"/>
    </row>
    <row r="123" spans="1:11" outlineLevel="1">
      <c r="A123" s="2"/>
      <c r="B123" s="2"/>
      <c r="C123" s="2"/>
      <c r="D123" s="2"/>
      <c r="E123" s="2"/>
      <c r="F123" s="2"/>
      <c r="G123" s="2"/>
      <c r="H123" s="2"/>
      <c r="I123" s="31"/>
      <c r="J123" s="31"/>
      <c r="K123" s="2"/>
    </row>
    <row r="124" spans="1:11" ht="75" customHeight="1">
      <c r="A124" s="3">
        <v>23</v>
      </c>
      <c r="B124" s="34" t="s">
        <v>108</v>
      </c>
      <c r="C124" s="3"/>
      <c r="D124" s="3"/>
      <c r="E124" s="3"/>
      <c r="F124" s="3"/>
      <c r="G124" s="3"/>
      <c r="H124" s="3"/>
      <c r="I124" s="30"/>
      <c r="J124" s="30">
        <v>0</v>
      </c>
      <c r="K124" s="2"/>
    </row>
    <row r="125" spans="1:11" outlineLevel="1">
      <c r="A125" s="2"/>
      <c r="B125" s="2"/>
      <c r="C125" s="2"/>
      <c r="D125" s="2"/>
      <c r="E125" s="2"/>
      <c r="F125" s="2"/>
      <c r="G125" s="2"/>
      <c r="H125" s="2"/>
      <c r="I125" s="31"/>
      <c r="J125" s="31"/>
      <c r="K125" s="5"/>
    </row>
    <row r="126" spans="1:11" ht="42.75">
      <c r="A126" s="3">
        <v>24</v>
      </c>
      <c r="B126" s="34" t="s">
        <v>109</v>
      </c>
      <c r="C126" s="3"/>
      <c r="D126" s="3"/>
      <c r="E126" s="3"/>
      <c r="F126" s="3"/>
      <c r="G126" s="3"/>
      <c r="H126" s="3"/>
      <c r="I126" s="30"/>
      <c r="J126" s="30">
        <f>SUM(J127:J132)</f>
        <v>1314.646</v>
      </c>
      <c r="K126" s="2"/>
    </row>
    <row r="127" spans="1:11" outlineLevel="1">
      <c r="A127" s="2"/>
      <c r="B127" s="2" t="s">
        <v>23</v>
      </c>
      <c r="C127" s="2"/>
      <c r="D127" s="2">
        <v>1</v>
      </c>
      <c r="E127" s="7">
        <f>J25</f>
        <v>567.62400000000002</v>
      </c>
      <c r="F127" s="2"/>
      <c r="G127" s="2"/>
      <c r="H127" s="2"/>
      <c r="I127" s="31">
        <f t="shared" ref="I127:I130" si="46">PRODUCT(E127:H127)</f>
        <v>567.62400000000002</v>
      </c>
      <c r="J127" s="31">
        <f t="shared" ref="J127:J130" si="47">I127*D127</f>
        <v>567.62400000000002</v>
      </c>
      <c r="K127" s="5"/>
    </row>
    <row r="128" spans="1:11" outlineLevel="1">
      <c r="A128" s="2"/>
      <c r="B128" s="2" t="s">
        <v>142</v>
      </c>
      <c r="C128" s="2"/>
      <c r="D128" s="2">
        <v>1</v>
      </c>
      <c r="E128" s="7">
        <f>J47</f>
        <v>425.34399999999999</v>
      </c>
      <c r="F128" s="2"/>
      <c r="G128" s="2"/>
      <c r="H128" s="2"/>
      <c r="I128" s="31">
        <f t="shared" si="46"/>
        <v>425.34399999999999</v>
      </c>
      <c r="J128" s="31">
        <f t="shared" si="47"/>
        <v>425.34399999999999</v>
      </c>
      <c r="K128" s="5"/>
    </row>
    <row r="129" spans="1:11" outlineLevel="1">
      <c r="A129" s="2"/>
      <c r="B129" s="2" t="s">
        <v>144</v>
      </c>
      <c r="C129" s="2"/>
      <c r="D129" s="2">
        <v>1</v>
      </c>
      <c r="E129" s="7">
        <f>J56</f>
        <v>51.743999999999986</v>
      </c>
      <c r="F129" s="2"/>
      <c r="G129" s="2"/>
      <c r="H129" s="2"/>
      <c r="I129" s="31">
        <f t="shared" si="46"/>
        <v>51.743999999999986</v>
      </c>
      <c r="J129" s="31">
        <f t="shared" si="47"/>
        <v>51.743999999999986</v>
      </c>
      <c r="K129" s="5"/>
    </row>
    <row r="130" spans="1:11" outlineLevel="1">
      <c r="A130" s="2"/>
      <c r="B130" s="2" t="s">
        <v>143</v>
      </c>
      <c r="C130" s="2"/>
      <c r="D130" s="2">
        <v>1</v>
      </c>
      <c r="E130" s="7">
        <f>J60</f>
        <v>13.780000000000001</v>
      </c>
      <c r="F130" s="2"/>
      <c r="G130" s="2"/>
      <c r="H130" s="2"/>
      <c r="I130" s="31">
        <f t="shared" si="46"/>
        <v>13.780000000000001</v>
      </c>
      <c r="J130" s="31">
        <f t="shared" si="47"/>
        <v>13.780000000000001</v>
      </c>
      <c r="K130" s="5"/>
    </row>
    <row r="131" spans="1:11" outlineLevel="1">
      <c r="A131" s="2"/>
      <c r="B131" s="2" t="s">
        <v>145</v>
      </c>
      <c r="C131" s="2"/>
      <c r="D131" s="2">
        <v>1</v>
      </c>
      <c r="E131" s="7">
        <f>J76</f>
        <v>256.154</v>
      </c>
      <c r="F131" s="2"/>
      <c r="G131" s="2"/>
      <c r="H131" s="2"/>
      <c r="I131" s="31">
        <f t="shared" ref="I131" si="48">PRODUCT(E131:H131)</f>
        <v>256.154</v>
      </c>
      <c r="J131" s="31">
        <f t="shared" ref="J131" si="49">I131*D131</f>
        <v>256.154</v>
      </c>
      <c r="K131" s="5"/>
    </row>
    <row r="132" spans="1:11" outlineLevel="1">
      <c r="A132" s="2"/>
      <c r="B132" s="2"/>
      <c r="C132" s="2"/>
      <c r="D132" s="2"/>
      <c r="E132" s="2"/>
      <c r="F132" s="2"/>
      <c r="G132" s="2"/>
      <c r="H132" s="2"/>
      <c r="I132" s="31"/>
      <c r="J132" s="31"/>
      <c r="K132" s="5"/>
    </row>
    <row r="133" spans="1:11">
      <c r="A133" s="3" t="s">
        <v>148</v>
      </c>
      <c r="B133" s="34" t="s">
        <v>149</v>
      </c>
      <c r="C133" s="3"/>
      <c r="D133" s="3"/>
      <c r="E133" s="3"/>
      <c r="F133" s="3"/>
      <c r="G133" s="3"/>
      <c r="H133" s="3"/>
      <c r="I133" s="30"/>
      <c r="J133" s="30">
        <f>SUM(J134:J250)</f>
        <v>10265.422800000006</v>
      </c>
      <c r="K133" s="2"/>
    </row>
    <row r="134" spans="1:11" outlineLevel="1">
      <c r="A134" s="2"/>
      <c r="B134" s="2" t="s">
        <v>150</v>
      </c>
      <c r="C134" s="2"/>
      <c r="D134" s="2">
        <v>19</v>
      </c>
      <c r="E134" s="7">
        <v>6.3</v>
      </c>
      <c r="F134" s="2"/>
      <c r="G134" s="2">
        <f>3.3-0.26</f>
        <v>3.04</v>
      </c>
      <c r="H134" s="2">
        <v>1</v>
      </c>
      <c r="I134" s="31">
        <f t="shared" ref="I134" si="50">PRODUCT(E134:H134)</f>
        <v>19.152000000000001</v>
      </c>
      <c r="J134" s="31">
        <f t="shared" ref="J134" si="51">I134*D134</f>
        <v>363.88800000000003</v>
      </c>
      <c r="K134" s="5"/>
    </row>
    <row r="135" spans="1:11" outlineLevel="1">
      <c r="A135" s="2"/>
      <c r="B135" s="6" t="s">
        <v>151</v>
      </c>
      <c r="C135" s="2"/>
      <c r="D135" s="2">
        <v>19</v>
      </c>
      <c r="E135" s="7">
        <v>2.0499999999999998</v>
      </c>
      <c r="F135" s="2"/>
      <c r="G135" s="2">
        <f>3.3-0.6-0.2</f>
        <v>2.4999999999999996</v>
      </c>
      <c r="H135" s="2">
        <v>-1</v>
      </c>
      <c r="I135" s="31">
        <f t="shared" ref="I135" si="52">PRODUCT(E135:H135)</f>
        <v>-5.1249999999999982</v>
      </c>
      <c r="J135" s="31">
        <f t="shared" ref="J135" si="53">I135*D135</f>
        <v>-97.374999999999972</v>
      </c>
      <c r="K135" s="5"/>
    </row>
    <row r="136" spans="1:11" outlineLevel="1">
      <c r="A136" s="2"/>
      <c r="B136" s="6" t="s">
        <v>106</v>
      </c>
      <c r="C136" s="2"/>
      <c r="D136" s="2">
        <v>19</v>
      </c>
      <c r="E136" s="7">
        <v>0.87</v>
      </c>
      <c r="F136" s="2"/>
      <c r="G136" s="2">
        <v>2.2000000000000002</v>
      </c>
      <c r="H136" s="2">
        <v>-1</v>
      </c>
      <c r="I136" s="31">
        <f t="shared" ref="I136:I138" si="54">PRODUCT(E136:H136)</f>
        <v>-1.9140000000000001</v>
      </c>
      <c r="J136" s="31">
        <f t="shared" ref="J136:J138" si="55">I136*D136</f>
        <v>-36.366</v>
      </c>
      <c r="K136" s="5"/>
    </row>
    <row r="137" spans="1:11" outlineLevel="1">
      <c r="A137" s="2"/>
      <c r="B137" s="2"/>
      <c r="C137" s="2"/>
      <c r="D137" s="2">
        <v>19</v>
      </c>
      <c r="E137" s="7">
        <v>7.5</v>
      </c>
      <c r="F137" s="2"/>
      <c r="G137" s="2">
        <f>3.3-0.26</f>
        <v>3.04</v>
      </c>
      <c r="H137" s="2">
        <v>1</v>
      </c>
      <c r="I137" s="31">
        <f t="shared" si="54"/>
        <v>22.8</v>
      </c>
      <c r="J137" s="31">
        <f t="shared" si="55"/>
        <v>433.2</v>
      </c>
      <c r="K137" s="5"/>
    </row>
    <row r="138" spans="1:11" outlineLevel="1">
      <c r="A138" s="2"/>
      <c r="B138" s="6" t="s">
        <v>151</v>
      </c>
      <c r="C138" s="2"/>
      <c r="D138" s="2">
        <v>19</v>
      </c>
      <c r="E138" s="7">
        <v>3.75</v>
      </c>
      <c r="F138" s="2"/>
      <c r="G138" s="2">
        <f>3.3-0.2</f>
        <v>3.0999999999999996</v>
      </c>
      <c r="H138" s="2">
        <v>-1</v>
      </c>
      <c r="I138" s="31">
        <f t="shared" si="54"/>
        <v>-11.624999999999998</v>
      </c>
      <c r="J138" s="31">
        <f t="shared" si="55"/>
        <v>-220.87499999999997</v>
      </c>
      <c r="K138" s="5"/>
    </row>
    <row r="139" spans="1:11" outlineLevel="1">
      <c r="A139" s="2"/>
      <c r="B139" s="6" t="s">
        <v>106</v>
      </c>
      <c r="C139" s="2"/>
      <c r="D139" s="2">
        <v>19</v>
      </c>
      <c r="E139" s="7">
        <v>1.93</v>
      </c>
      <c r="F139" s="2"/>
      <c r="G139" s="2">
        <v>2.4</v>
      </c>
      <c r="H139" s="2">
        <v>-1</v>
      </c>
      <c r="I139" s="31">
        <f t="shared" ref="I139:I144" si="56">PRODUCT(E139:H139)</f>
        <v>-4.6319999999999997</v>
      </c>
      <c r="J139" s="31">
        <f t="shared" ref="J139:J144" si="57">I139*D139</f>
        <v>-88.007999999999996</v>
      </c>
      <c r="K139" s="5"/>
    </row>
    <row r="140" spans="1:11" outlineLevel="1">
      <c r="A140" s="2"/>
      <c r="B140" s="2" t="s">
        <v>152</v>
      </c>
      <c r="C140" s="2"/>
      <c r="D140" s="2">
        <v>19</v>
      </c>
      <c r="E140" s="7">
        <v>7.3</v>
      </c>
      <c r="F140" s="2"/>
      <c r="G140" s="2">
        <f>3.3-0.26</f>
        <v>3.04</v>
      </c>
      <c r="H140" s="2">
        <v>1</v>
      </c>
      <c r="I140" s="31">
        <f t="shared" si="56"/>
        <v>22.192</v>
      </c>
      <c r="J140" s="31">
        <f t="shared" si="57"/>
        <v>421.64800000000002</v>
      </c>
      <c r="K140" s="5"/>
    </row>
    <row r="141" spans="1:11" outlineLevel="1">
      <c r="A141" s="2"/>
      <c r="B141" s="6" t="s">
        <v>151</v>
      </c>
      <c r="C141" s="2"/>
      <c r="D141" s="2">
        <v>19</v>
      </c>
      <c r="E141" s="7">
        <v>2.8050000000000002</v>
      </c>
      <c r="F141" s="2"/>
      <c r="G141" s="2">
        <f>3.3-0.6-0.2</f>
        <v>2.4999999999999996</v>
      </c>
      <c r="H141" s="2">
        <v>-1</v>
      </c>
      <c r="I141" s="31">
        <f t="shared" si="56"/>
        <v>-7.0124999999999993</v>
      </c>
      <c r="J141" s="31">
        <f t="shared" si="57"/>
        <v>-133.23749999999998</v>
      </c>
      <c r="K141" s="5"/>
    </row>
    <row r="142" spans="1:11" outlineLevel="1">
      <c r="A142" s="2"/>
      <c r="B142" s="6" t="s">
        <v>106</v>
      </c>
      <c r="C142" s="2"/>
      <c r="D142" s="2">
        <v>19</v>
      </c>
      <c r="E142" s="7">
        <v>1.93</v>
      </c>
      <c r="F142" s="2"/>
      <c r="G142" s="2">
        <v>2.4</v>
      </c>
      <c r="H142" s="2">
        <v>-1</v>
      </c>
      <c r="I142" s="31">
        <f t="shared" si="56"/>
        <v>-4.6319999999999997</v>
      </c>
      <c r="J142" s="31">
        <f t="shared" si="57"/>
        <v>-88.007999999999996</v>
      </c>
      <c r="K142" s="5"/>
    </row>
    <row r="143" spans="1:11" outlineLevel="1">
      <c r="A143" s="2"/>
      <c r="B143" s="2"/>
      <c r="C143" s="2"/>
      <c r="D143" s="2">
        <v>19</v>
      </c>
      <c r="E143" s="7">
        <v>11.65</v>
      </c>
      <c r="F143" s="2"/>
      <c r="G143" s="2">
        <f>3.3-0.26</f>
        <v>3.04</v>
      </c>
      <c r="H143" s="2">
        <v>1</v>
      </c>
      <c r="I143" s="31">
        <f t="shared" si="56"/>
        <v>35.416000000000004</v>
      </c>
      <c r="J143" s="31">
        <f t="shared" si="57"/>
        <v>672.90400000000011</v>
      </c>
      <c r="K143" s="5"/>
    </row>
    <row r="144" spans="1:11" outlineLevel="1">
      <c r="A144" s="2"/>
      <c r="B144" s="6" t="s">
        <v>151</v>
      </c>
      <c r="C144" s="2"/>
      <c r="D144" s="2">
        <v>19</v>
      </c>
      <c r="E144" s="7">
        <v>1.0249999999999999</v>
      </c>
      <c r="F144" s="2"/>
      <c r="G144" s="2">
        <f>3.3-0.6-0.2</f>
        <v>2.4999999999999996</v>
      </c>
      <c r="H144" s="2">
        <v>-1</v>
      </c>
      <c r="I144" s="31">
        <f t="shared" si="56"/>
        <v>-2.5624999999999991</v>
      </c>
      <c r="J144" s="31">
        <f t="shared" si="57"/>
        <v>-48.687499999999986</v>
      </c>
      <c r="K144" s="5"/>
    </row>
    <row r="145" spans="1:11" outlineLevel="1">
      <c r="A145" s="2"/>
      <c r="B145" s="6" t="s">
        <v>106</v>
      </c>
      <c r="C145" s="2"/>
      <c r="D145" s="2">
        <v>19</v>
      </c>
      <c r="E145" s="7">
        <v>0.87</v>
      </c>
      <c r="F145" s="2"/>
      <c r="G145" s="2">
        <v>2.2000000000000002</v>
      </c>
      <c r="H145" s="2">
        <v>-1</v>
      </c>
      <c r="I145" s="31">
        <f t="shared" ref="I145" si="58">PRODUCT(E145:H145)</f>
        <v>-1.9140000000000001</v>
      </c>
      <c r="J145" s="31">
        <f t="shared" ref="J145" si="59">I145*D145</f>
        <v>-36.366</v>
      </c>
      <c r="K145" s="5"/>
    </row>
    <row r="146" spans="1:11" outlineLevel="1">
      <c r="A146" s="2"/>
      <c r="B146" s="6" t="s">
        <v>106</v>
      </c>
      <c r="C146" s="2"/>
      <c r="D146" s="2">
        <v>19</v>
      </c>
      <c r="E146" s="7">
        <v>0.9</v>
      </c>
      <c r="F146" s="2"/>
      <c r="G146" s="2">
        <v>1</v>
      </c>
      <c r="H146" s="2">
        <v>-1</v>
      </c>
      <c r="I146" s="31">
        <f t="shared" ref="I146:I155" si="60">PRODUCT(E146:H146)</f>
        <v>-0.9</v>
      </c>
      <c r="J146" s="31">
        <f t="shared" ref="J146:J155" si="61">I146*D146</f>
        <v>-17.100000000000001</v>
      </c>
      <c r="K146" s="5"/>
    </row>
    <row r="147" spans="1:11" outlineLevel="1">
      <c r="A147" s="2"/>
      <c r="B147" s="2" t="s">
        <v>154</v>
      </c>
      <c r="C147" s="2"/>
      <c r="D147" s="2">
        <v>19</v>
      </c>
      <c r="E147" s="7">
        <v>8.35</v>
      </c>
      <c r="F147" s="2"/>
      <c r="G147" s="2">
        <f>3.3-0.26</f>
        <v>3.04</v>
      </c>
      <c r="H147" s="2">
        <v>1</v>
      </c>
      <c r="I147" s="31">
        <f t="shared" si="60"/>
        <v>25.384</v>
      </c>
      <c r="J147" s="31">
        <f t="shared" si="61"/>
        <v>482.29599999999999</v>
      </c>
      <c r="K147" s="5"/>
    </row>
    <row r="148" spans="1:11" outlineLevel="1">
      <c r="A148" s="2"/>
      <c r="B148" s="6" t="s">
        <v>151</v>
      </c>
      <c r="C148" s="2"/>
      <c r="D148" s="2">
        <v>19</v>
      </c>
      <c r="E148" s="7">
        <v>2.9249999999999998</v>
      </c>
      <c r="F148" s="2"/>
      <c r="G148" s="2">
        <f>3.3-0.6-0.2</f>
        <v>2.4999999999999996</v>
      </c>
      <c r="H148" s="2">
        <v>-1</v>
      </c>
      <c r="I148" s="31">
        <f t="shared" si="60"/>
        <v>-7.3124999999999982</v>
      </c>
      <c r="J148" s="31">
        <f t="shared" si="61"/>
        <v>-138.93749999999997</v>
      </c>
      <c r="K148" s="5"/>
    </row>
    <row r="149" spans="1:11" outlineLevel="1">
      <c r="A149" s="2"/>
      <c r="B149" s="6" t="s">
        <v>106</v>
      </c>
      <c r="C149" s="2"/>
      <c r="D149" s="2">
        <v>19</v>
      </c>
      <c r="E149" s="7">
        <v>1.93</v>
      </c>
      <c r="F149" s="2"/>
      <c r="G149" s="2">
        <v>2.4</v>
      </c>
      <c r="H149" s="2">
        <v>-1</v>
      </c>
      <c r="I149" s="31">
        <f t="shared" si="60"/>
        <v>-4.6319999999999997</v>
      </c>
      <c r="J149" s="31">
        <f t="shared" si="61"/>
        <v>-88.007999999999996</v>
      </c>
      <c r="K149" s="5"/>
    </row>
    <row r="150" spans="1:11" outlineLevel="1">
      <c r="A150" s="2"/>
      <c r="B150" s="2" t="s">
        <v>155</v>
      </c>
      <c r="C150" s="2"/>
      <c r="D150" s="2">
        <v>19</v>
      </c>
      <c r="E150" s="7">
        <v>7.3</v>
      </c>
      <c r="F150" s="2"/>
      <c r="G150" s="2">
        <f>3.3-0.26</f>
        <v>3.04</v>
      </c>
      <c r="H150" s="2">
        <v>1</v>
      </c>
      <c r="I150" s="31">
        <f t="shared" si="60"/>
        <v>22.192</v>
      </c>
      <c r="J150" s="31">
        <f t="shared" si="61"/>
        <v>421.64800000000002</v>
      </c>
      <c r="K150" s="5"/>
    </row>
    <row r="151" spans="1:11" outlineLevel="1">
      <c r="A151" s="2"/>
      <c r="B151" s="6" t="s">
        <v>151</v>
      </c>
      <c r="C151" s="2"/>
      <c r="D151" s="2">
        <v>19</v>
      </c>
      <c r="E151" s="7">
        <v>2.8050000000000002</v>
      </c>
      <c r="F151" s="2"/>
      <c r="G151" s="2">
        <f>3.3-0.6-0.2</f>
        <v>2.4999999999999996</v>
      </c>
      <c r="H151" s="2">
        <v>-1</v>
      </c>
      <c r="I151" s="31">
        <f t="shared" si="60"/>
        <v>-7.0124999999999993</v>
      </c>
      <c r="J151" s="31">
        <f t="shared" si="61"/>
        <v>-133.23749999999998</v>
      </c>
      <c r="K151" s="5"/>
    </row>
    <row r="152" spans="1:11" outlineLevel="1">
      <c r="A152" s="2"/>
      <c r="B152" s="6" t="s">
        <v>106</v>
      </c>
      <c r="C152" s="2"/>
      <c r="D152" s="2">
        <v>19</v>
      </c>
      <c r="E152" s="7">
        <v>1.93</v>
      </c>
      <c r="F152" s="2"/>
      <c r="G152" s="2">
        <v>2.4</v>
      </c>
      <c r="H152" s="2">
        <v>-1</v>
      </c>
      <c r="I152" s="31">
        <f t="shared" si="60"/>
        <v>-4.6319999999999997</v>
      </c>
      <c r="J152" s="31">
        <f t="shared" si="61"/>
        <v>-88.007999999999996</v>
      </c>
      <c r="K152" s="5"/>
    </row>
    <row r="153" spans="1:11" outlineLevel="1">
      <c r="A153" s="2"/>
      <c r="B153" s="2"/>
      <c r="C153" s="2"/>
      <c r="D153" s="2">
        <v>19</v>
      </c>
      <c r="E153" s="7">
        <v>11.65</v>
      </c>
      <c r="F153" s="2"/>
      <c r="G153" s="2">
        <f>3.3-0.26</f>
        <v>3.04</v>
      </c>
      <c r="H153" s="2">
        <v>1</v>
      </c>
      <c r="I153" s="31">
        <f t="shared" si="60"/>
        <v>35.416000000000004</v>
      </c>
      <c r="J153" s="31">
        <f t="shared" si="61"/>
        <v>672.90400000000011</v>
      </c>
      <c r="K153" s="5"/>
    </row>
    <row r="154" spans="1:11" outlineLevel="1">
      <c r="A154" s="2"/>
      <c r="B154" s="6" t="s">
        <v>151</v>
      </c>
      <c r="C154" s="2"/>
      <c r="D154" s="2">
        <v>19</v>
      </c>
      <c r="E154" s="7">
        <v>1.0249999999999999</v>
      </c>
      <c r="F154" s="2"/>
      <c r="G154" s="2">
        <f>3.3-0.6-0.2</f>
        <v>2.4999999999999996</v>
      </c>
      <c r="H154" s="2">
        <v>-1</v>
      </c>
      <c r="I154" s="31">
        <f t="shared" si="60"/>
        <v>-2.5624999999999991</v>
      </c>
      <c r="J154" s="31">
        <f t="shared" si="61"/>
        <v>-48.687499999999986</v>
      </c>
      <c r="K154" s="5"/>
    </row>
    <row r="155" spans="1:11" outlineLevel="1">
      <c r="A155" s="2"/>
      <c r="B155" s="6" t="s">
        <v>106</v>
      </c>
      <c r="C155" s="2"/>
      <c r="D155" s="2">
        <v>19</v>
      </c>
      <c r="E155" s="7">
        <v>0.87</v>
      </c>
      <c r="F155" s="2"/>
      <c r="G155" s="2">
        <v>2.2000000000000002</v>
      </c>
      <c r="H155" s="2">
        <v>-1</v>
      </c>
      <c r="I155" s="31">
        <f t="shared" si="60"/>
        <v>-1.9140000000000001</v>
      </c>
      <c r="J155" s="31">
        <f t="shared" si="61"/>
        <v>-36.366</v>
      </c>
      <c r="K155" s="5"/>
    </row>
    <row r="156" spans="1:11" outlineLevel="1">
      <c r="A156" s="2"/>
      <c r="B156" s="6" t="s">
        <v>106</v>
      </c>
      <c r="C156" s="2"/>
      <c r="D156" s="2">
        <v>19</v>
      </c>
      <c r="E156" s="7">
        <v>0.9</v>
      </c>
      <c r="F156" s="2"/>
      <c r="G156" s="2">
        <v>1</v>
      </c>
      <c r="H156" s="2">
        <v>-1</v>
      </c>
      <c r="I156" s="31">
        <f t="shared" ref="I156:I162" si="62">PRODUCT(E156:H156)</f>
        <v>-0.9</v>
      </c>
      <c r="J156" s="31">
        <f t="shared" ref="J156:J162" si="63">I156*D156</f>
        <v>-17.100000000000001</v>
      </c>
      <c r="K156" s="5"/>
    </row>
    <row r="157" spans="1:11" outlineLevel="1">
      <c r="A157" s="2"/>
      <c r="B157" s="2" t="s">
        <v>156</v>
      </c>
      <c r="C157" s="2"/>
      <c r="D157" s="2">
        <v>19</v>
      </c>
      <c r="E157" s="7">
        <v>7.3</v>
      </c>
      <c r="F157" s="2"/>
      <c r="G157" s="2">
        <f>3.3-0.26</f>
        <v>3.04</v>
      </c>
      <c r="H157" s="2">
        <v>1</v>
      </c>
      <c r="I157" s="31">
        <f t="shared" si="62"/>
        <v>22.192</v>
      </c>
      <c r="J157" s="31">
        <f t="shared" si="63"/>
        <v>421.64800000000002</v>
      </c>
      <c r="K157" s="5"/>
    </row>
    <row r="158" spans="1:11" outlineLevel="1">
      <c r="A158" s="2"/>
      <c r="B158" s="6" t="s">
        <v>151</v>
      </c>
      <c r="C158" s="2"/>
      <c r="D158" s="2">
        <v>19</v>
      </c>
      <c r="E158" s="7">
        <v>2.8050000000000002</v>
      </c>
      <c r="F158" s="2"/>
      <c r="G158" s="2">
        <f>3.3-0.6-0.2</f>
        <v>2.4999999999999996</v>
      </c>
      <c r="H158" s="2">
        <v>-1</v>
      </c>
      <c r="I158" s="31">
        <f t="shared" si="62"/>
        <v>-7.0124999999999993</v>
      </c>
      <c r="J158" s="31">
        <f t="shared" si="63"/>
        <v>-133.23749999999998</v>
      </c>
      <c r="K158" s="5"/>
    </row>
    <row r="159" spans="1:11" outlineLevel="1">
      <c r="A159" s="2"/>
      <c r="B159" s="6" t="s">
        <v>106</v>
      </c>
      <c r="C159" s="2"/>
      <c r="D159" s="2">
        <v>19</v>
      </c>
      <c r="E159" s="7">
        <v>1.93</v>
      </c>
      <c r="F159" s="2"/>
      <c r="G159" s="2">
        <v>2.4</v>
      </c>
      <c r="H159" s="2">
        <v>-1</v>
      </c>
      <c r="I159" s="31">
        <f t="shared" si="62"/>
        <v>-4.6319999999999997</v>
      </c>
      <c r="J159" s="31">
        <f t="shared" si="63"/>
        <v>-88.007999999999996</v>
      </c>
      <c r="K159" s="5"/>
    </row>
    <row r="160" spans="1:11" outlineLevel="1">
      <c r="A160" s="2"/>
      <c r="B160" s="2"/>
      <c r="C160" s="2"/>
      <c r="D160" s="2">
        <v>19</v>
      </c>
      <c r="E160" s="7">
        <v>11.65</v>
      </c>
      <c r="F160" s="2"/>
      <c r="G160" s="2">
        <f>3.3-0.26</f>
        <v>3.04</v>
      </c>
      <c r="H160" s="2">
        <v>1</v>
      </c>
      <c r="I160" s="31">
        <f t="shared" si="62"/>
        <v>35.416000000000004</v>
      </c>
      <c r="J160" s="31">
        <f t="shared" si="63"/>
        <v>672.90400000000011</v>
      </c>
      <c r="K160" s="5"/>
    </row>
    <row r="161" spans="1:11" outlineLevel="1">
      <c r="A161" s="2"/>
      <c r="B161" s="6" t="s">
        <v>151</v>
      </c>
      <c r="C161" s="2"/>
      <c r="D161" s="2">
        <v>19</v>
      </c>
      <c r="E161" s="7">
        <v>1.0249999999999999</v>
      </c>
      <c r="F161" s="2"/>
      <c r="G161" s="2">
        <f>3.3-0.6-0.2</f>
        <v>2.4999999999999996</v>
      </c>
      <c r="H161" s="2">
        <v>-1</v>
      </c>
      <c r="I161" s="31">
        <f t="shared" si="62"/>
        <v>-2.5624999999999991</v>
      </c>
      <c r="J161" s="31">
        <f t="shared" si="63"/>
        <v>-48.687499999999986</v>
      </c>
      <c r="K161" s="5"/>
    </row>
    <row r="162" spans="1:11" outlineLevel="1">
      <c r="A162" s="2"/>
      <c r="B162" s="6" t="s">
        <v>106</v>
      </c>
      <c r="C162" s="2"/>
      <c r="D162" s="2">
        <v>19</v>
      </c>
      <c r="E162" s="7">
        <v>0.87</v>
      </c>
      <c r="F162" s="2"/>
      <c r="G162" s="2">
        <v>2.2000000000000002</v>
      </c>
      <c r="H162" s="2">
        <v>-1</v>
      </c>
      <c r="I162" s="31">
        <f t="shared" si="62"/>
        <v>-1.9140000000000001</v>
      </c>
      <c r="J162" s="31">
        <f t="shared" si="63"/>
        <v>-36.366</v>
      </c>
      <c r="K162" s="5"/>
    </row>
    <row r="163" spans="1:11" outlineLevel="1">
      <c r="A163" s="2"/>
      <c r="B163" s="6" t="s">
        <v>106</v>
      </c>
      <c r="C163" s="2"/>
      <c r="D163" s="2">
        <v>19</v>
      </c>
      <c r="E163" s="7">
        <v>0.9</v>
      </c>
      <c r="F163" s="2"/>
      <c r="G163" s="2">
        <v>1</v>
      </c>
      <c r="H163" s="2">
        <v>-1</v>
      </c>
      <c r="I163" s="31">
        <f t="shared" ref="I163:I179" si="64">PRODUCT(E163:H163)</f>
        <v>-0.9</v>
      </c>
      <c r="J163" s="31">
        <f t="shared" ref="J163:J179" si="65">I163*D163</f>
        <v>-17.100000000000001</v>
      </c>
      <c r="K163" s="5"/>
    </row>
    <row r="164" spans="1:11" outlineLevel="1">
      <c r="A164" s="2"/>
      <c r="B164" s="2" t="s">
        <v>157</v>
      </c>
      <c r="C164" s="2"/>
      <c r="D164" s="2">
        <v>19</v>
      </c>
      <c r="E164" s="7">
        <v>8.35</v>
      </c>
      <c r="F164" s="2"/>
      <c r="G164" s="2">
        <f>3.3-0.26</f>
        <v>3.04</v>
      </c>
      <c r="H164" s="2">
        <v>1</v>
      </c>
      <c r="I164" s="31">
        <f t="shared" si="64"/>
        <v>25.384</v>
      </c>
      <c r="J164" s="31">
        <f t="shared" si="65"/>
        <v>482.29599999999999</v>
      </c>
      <c r="K164" s="5"/>
    </row>
    <row r="165" spans="1:11" outlineLevel="1">
      <c r="A165" s="2"/>
      <c r="B165" s="6" t="s">
        <v>151</v>
      </c>
      <c r="C165" s="2"/>
      <c r="D165" s="2">
        <v>19</v>
      </c>
      <c r="E165" s="7">
        <v>2.9249999999999998</v>
      </c>
      <c r="F165" s="2"/>
      <c r="G165" s="2">
        <f>3.3-0.6-0.2</f>
        <v>2.4999999999999996</v>
      </c>
      <c r="H165" s="2">
        <v>-1</v>
      </c>
      <c r="I165" s="31">
        <f t="shared" si="64"/>
        <v>-7.3124999999999982</v>
      </c>
      <c r="J165" s="31">
        <f t="shared" si="65"/>
        <v>-138.93749999999997</v>
      </c>
      <c r="K165" s="5"/>
    </row>
    <row r="166" spans="1:11" outlineLevel="1">
      <c r="A166" s="2"/>
      <c r="B166" s="6" t="s">
        <v>106</v>
      </c>
      <c r="C166" s="2"/>
      <c r="D166" s="2">
        <v>19</v>
      </c>
      <c r="E166" s="7">
        <v>1.93</v>
      </c>
      <c r="F166" s="2"/>
      <c r="G166" s="2">
        <v>2.4</v>
      </c>
      <c r="H166" s="2">
        <v>-1</v>
      </c>
      <c r="I166" s="31">
        <f t="shared" si="64"/>
        <v>-4.6319999999999997</v>
      </c>
      <c r="J166" s="31">
        <f t="shared" si="65"/>
        <v>-88.007999999999996</v>
      </c>
      <c r="K166" s="5"/>
    </row>
    <row r="167" spans="1:11" outlineLevel="1">
      <c r="A167" s="2"/>
      <c r="B167" s="2" t="s">
        <v>158</v>
      </c>
      <c r="C167" s="2"/>
      <c r="D167" s="2">
        <v>19</v>
      </c>
      <c r="E167" s="7">
        <v>7.3</v>
      </c>
      <c r="F167" s="2"/>
      <c r="G167" s="2">
        <f>3.3-0.26</f>
        <v>3.04</v>
      </c>
      <c r="H167" s="2">
        <v>1</v>
      </c>
      <c r="I167" s="31">
        <f t="shared" si="64"/>
        <v>22.192</v>
      </c>
      <c r="J167" s="31">
        <f t="shared" si="65"/>
        <v>421.64800000000002</v>
      </c>
      <c r="K167" s="5"/>
    </row>
    <row r="168" spans="1:11" outlineLevel="1">
      <c r="A168" s="2"/>
      <c r="B168" s="6" t="s">
        <v>151</v>
      </c>
      <c r="C168" s="2"/>
      <c r="D168" s="2">
        <v>19</v>
      </c>
      <c r="E168" s="7">
        <v>2.8050000000000002</v>
      </c>
      <c r="F168" s="2"/>
      <c r="G168" s="2">
        <f>3.3-0.6-0.2</f>
        <v>2.4999999999999996</v>
      </c>
      <c r="H168" s="2">
        <v>-1</v>
      </c>
      <c r="I168" s="31">
        <f t="shared" si="64"/>
        <v>-7.0124999999999993</v>
      </c>
      <c r="J168" s="31">
        <f t="shared" si="65"/>
        <v>-133.23749999999998</v>
      </c>
      <c r="K168" s="5"/>
    </row>
    <row r="169" spans="1:11" outlineLevel="1">
      <c r="A169" s="2"/>
      <c r="B169" s="6" t="s">
        <v>106</v>
      </c>
      <c r="C169" s="2"/>
      <c r="D169" s="2">
        <v>19</v>
      </c>
      <c r="E169" s="7">
        <v>1.93</v>
      </c>
      <c r="F169" s="2"/>
      <c r="G169" s="2">
        <v>2.4</v>
      </c>
      <c r="H169" s="2">
        <v>-1</v>
      </c>
      <c r="I169" s="31">
        <f t="shared" si="64"/>
        <v>-4.6319999999999997</v>
      </c>
      <c r="J169" s="31">
        <f t="shared" si="65"/>
        <v>-88.007999999999996</v>
      </c>
      <c r="K169" s="5"/>
    </row>
    <row r="170" spans="1:11" outlineLevel="1">
      <c r="A170" s="2"/>
      <c r="B170" s="2"/>
      <c r="C170" s="2"/>
      <c r="D170" s="2">
        <v>19</v>
      </c>
      <c r="E170" s="7">
        <v>11.65</v>
      </c>
      <c r="F170" s="2"/>
      <c r="G170" s="2">
        <f>3.3-0.26</f>
        <v>3.04</v>
      </c>
      <c r="H170" s="2">
        <v>1</v>
      </c>
      <c r="I170" s="31">
        <f t="shared" si="64"/>
        <v>35.416000000000004</v>
      </c>
      <c r="J170" s="31">
        <f t="shared" si="65"/>
        <v>672.90400000000011</v>
      </c>
      <c r="K170" s="5"/>
    </row>
    <row r="171" spans="1:11" outlineLevel="1">
      <c r="A171" s="2"/>
      <c r="B171" s="6" t="s">
        <v>151</v>
      </c>
      <c r="C171" s="2"/>
      <c r="D171" s="2">
        <v>19</v>
      </c>
      <c r="E171" s="7">
        <v>1.0249999999999999</v>
      </c>
      <c r="F171" s="2"/>
      <c r="G171" s="2">
        <f>3.3-0.6-0.2</f>
        <v>2.4999999999999996</v>
      </c>
      <c r="H171" s="2">
        <v>-1</v>
      </c>
      <c r="I171" s="31">
        <f t="shared" si="64"/>
        <v>-2.5624999999999991</v>
      </c>
      <c r="J171" s="31">
        <f t="shared" si="65"/>
        <v>-48.687499999999986</v>
      </c>
      <c r="K171" s="5"/>
    </row>
    <row r="172" spans="1:11" outlineLevel="1">
      <c r="A172" s="2"/>
      <c r="B172" s="6" t="s">
        <v>106</v>
      </c>
      <c r="C172" s="2"/>
      <c r="D172" s="2">
        <v>19</v>
      </c>
      <c r="E172" s="7">
        <v>0.87</v>
      </c>
      <c r="F172" s="2"/>
      <c r="G172" s="2">
        <v>2.2000000000000002</v>
      </c>
      <c r="H172" s="2">
        <v>-1</v>
      </c>
      <c r="I172" s="31">
        <f t="shared" si="64"/>
        <v>-1.9140000000000001</v>
      </c>
      <c r="J172" s="31">
        <f t="shared" si="65"/>
        <v>-36.366</v>
      </c>
      <c r="K172" s="5"/>
    </row>
    <row r="173" spans="1:11" outlineLevel="1">
      <c r="A173" s="2"/>
      <c r="B173" s="6" t="s">
        <v>106</v>
      </c>
      <c r="C173" s="2"/>
      <c r="D173" s="2">
        <v>19</v>
      </c>
      <c r="E173" s="7">
        <v>0.9</v>
      </c>
      <c r="F173" s="2"/>
      <c r="G173" s="2">
        <v>1</v>
      </c>
      <c r="H173" s="2">
        <v>-1</v>
      </c>
      <c r="I173" s="31">
        <f t="shared" si="64"/>
        <v>-0.9</v>
      </c>
      <c r="J173" s="31">
        <f t="shared" si="65"/>
        <v>-17.100000000000001</v>
      </c>
      <c r="K173" s="5"/>
    </row>
    <row r="174" spans="1:11" outlineLevel="1">
      <c r="A174" s="2"/>
      <c r="B174" s="2" t="s">
        <v>159</v>
      </c>
      <c r="C174" s="2"/>
      <c r="D174" s="2">
        <v>19</v>
      </c>
      <c r="E174" s="7">
        <v>6.3</v>
      </c>
      <c r="F174" s="2"/>
      <c r="G174" s="2">
        <f>3.3-0.26</f>
        <v>3.04</v>
      </c>
      <c r="H174" s="2">
        <v>1</v>
      </c>
      <c r="I174" s="31">
        <f t="shared" si="64"/>
        <v>19.152000000000001</v>
      </c>
      <c r="J174" s="31">
        <f t="shared" si="65"/>
        <v>363.88800000000003</v>
      </c>
      <c r="K174" s="5"/>
    </row>
    <row r="175" spans="1:11" outlineLevel="1">
      <c r="A175" s="2"/>
      <c r="B175" s="6" t="s">
        <v>151</v>
      </c>
      <c r="C175" s="2"/>
      <c r="D175" s="2">
        <v>19</v>
      </c>
      <c r="E175" s="7">
        <v>2.0499999999999998</v>
      </c>
      <c r="F175" s="2"/>
      <c r="G175" s="2">
        <f>3.3-0.6-0.2</f>
        <v>2.4999999999999996</v>
      </c>
      <c r="H175" s="2">
        <v>-1</v>
      </c>
      <c r="I175" s="31">
        <f t="shared" si="64"/>
        <v>-5.1249999999999982</v>
      </c>
      <c r="J175" s="31">
        <f t="shared" si="65"/>
        <v>-97.374999999999972</v>
      </c>
      <c r="K175" s="5"/>
    </row>
    <row r="176" spans="1:11" outlineLevel="1">
      <c r="A176" s="2"/>
      <c r="B176" s="6" t="s">
        <v>106</v>
      </c>
      <c r="C176" s="2"/>
      <c r="D176" s="2">
        <v>19</v>
      </c>
      <c r="E176" s="7">
        <v>0.87</v>
      </c>
      <c r="F176" s="2"/>
      <c r="G176" s="2">
        <v>2.2000000000000002</v>
      </c>
      <c r="H176" s="2">
        <v>-1</v>
      </c>
      <c r="I176" s="31">
        <f t="shared" si="64"/>
        <v>-1.9140000000000001</v>
      </c>
      <c r="J176" s="31">
        <f t="shared" si="65"/>
        <v>-36.366</v>
      </c>
      <c r="K176" s="5"/>
    </row>
    <row r="177" spans="1:11" outlineLevel="1">
      <c r="A177" s="2"/>
      <c r="B177" s="2"/>
      <c r="C177" s="2"/>
      <c r="D177" s="2">
        <v>19</v>
      </c>
      <c r="E177" s="7">
        <v>7.5</v>
      </c>
      <c r="F177" s="2"/>
      <c r="G177" s="2">
        <f>3.3-0.26</f>
        <v>3.04</v>
      </c>
      <c r="H177" s="2">
        <v>1</v>
      </c>
      <c r="I177" s="31">
        <f t="shared" si="64"/>
        <v>22.8</v>
      </c>
      <c r="J177" s="31">
        <f t="shared" si="65"/>
        <v>433.2</v>
      </c>
      <c r="K177" s="5"/>
    </row>
    <row r="178" spans="1:11" outlineLevel="1">
      <c r="A178" s="2"/>
      <c r="B178" s="6" t="s">
        <v>151</v>
      </c>
      <c r="C178" s="2"/>
      <c r="D178" s="2">
        <v>19</v>
      </c>
      <c r="E178" s="7">
        <v>3.75</v>
      </c>
      <c r="F178" s="2"/>
      <c r="G178" s="2">
        <f>3.3-0.2</f>
        <v>3.0999999999999996</v>
      </c>
      <c r="H178" s="2">
        <v>-1</v>
      </c>
      <c r="I178" s="31">
        <f t="shared" si="64"/>
        <v>-11.624999999999998</v>
      </c>
      <c r="J178" s="31">
        <f t="shared" si="65"/>
        <v>-220.87499999999997</v>
      </c>
      <c r="K178" s="5"/>
    </row>
    <row r="179" spans="1:11" outlineLevel="1">
      <c r="A179" s="2"/>
      <c r="B179" s="6" t="s">
        <v>106</v>
      </c>
      <c r="C179" s="2"/>
      <c r="D179" s="2">
        <v>19</v>
      </c>
      <c r="E179" s="7">
        <v>1.93</v>
      </c>
      <c r="F179" s="2"/>
      <c r="G179" s="2">
        <v>2.4</v>
      </c>
      <c r="H179" s="2">
        <v>-1</v>
      </c>
      <c r="I179" s="31">
        <f t="shared" si="64"/>
        <v>-4.6319999999999997</v>
      </c>
      <c r="J179" s="31">
        <f t="shared" si="65"/>
        <v>-88.007999999999996</v>
      </c>
      <c r="K179" s="5"/>
    </row>
    <row r="180" spans="1:11" outlineLevel="1">
      <c r="A180" s="2"/>
      <c r="B180" s="2" t="s">
        <v>160</v>
      </c>
      <c r="C180" s="2"/>
      <c r="D180" s="2">
        <v>5</v>
      </c>
      <c r="E180" s="7">
        <v>6.5</v>
      </c>
      <c r="F180" s="2"/>
      <c r="G180" s="2">
        <f>3.3-0.26</f>
        <v>3.04</v>
      </c>
      <c r="H180" s="2">
        <v>1</v>
      </c>
      <c r="I180" s="31">
        <f t="shared" ref="I180:I185" si="66">PRODUCT(E180:H180)</f>
        <v>19.760000000000002</v>
      </c>
      <c r="J180" s="31">
        <f t="shared" ref="J180:J185" si="67">I180*D180</f>
        <v>98.800000000000011</v>
      </c>
      <c r="K180" s="5"/>
    </row>
    <row r="181" spans="1:11" outlineLevel="1">
      <c r="A181" s="2"/>
      <c r="B181" s="6" t="s">
        <v>151</v>
      </c>
      <c r="C181" s="2"/>
      <c r="D181" s="2">
        <v>5</v>
      </c>
      <c r="E181" s="7">
        <v>2.14</v>
      </c>
      <c r="F181" s="2"/>
      <c r="G181" s="2">
        <f>3.3-0.6-0.2</f>
        <v>2.4999999999999996</v>
      </c>
      <c r="H181" s="2">
        <v>-1</v>
      </c>
      <c r="I181" s="31">
        <f t="shared" si="66"/>
        <v>-5.35</v>
      </c>
      <c r="J181" s="31">
        <f t="shared" si="67"/>
        <v>-26.75</v>
      </c>
      <c r="K181" s="5"/>
    </row>
    <row r="182" spans="1:11" outlineLevel="1">
      <c r="A182" s="2"/>
      <c r="B182" s="6" t="s">
        <v>106</v>
      </c>
      <c r="C182" s="2"/>
      <c r="D182" s="2">
        <v>5</v>
      </c>
      <c r="E182" s="7">
        <v>0.87</v>
      </c>
      <c r="F182" s="2"/>
      <c r="G182" s="2">
        <v>2.2000000000000002</v>
      </c>
      <c r="H182" s="2">
        <v>-1</v>
      </c>
      <c r="I182" s="31">
        <f t="shared" si="66"/>
        <v>-1.9140000000000001</v>
      </c>
      <c r="J182" s="31">
        <f t="shared" si="67"/>
        <v>-9.57</v>
      </c>
      <c r="K182" s="5"/>
    </row>
    <row r="183" spans="1:11" outlineLevel="1">
      <c r="A183" s="2"/>
      <c r="B183" s="2"/>
      <c r="C183" s="2"/>
      <c r="D183" s="2">
        <v>5</v>
      </c>
      <c r="E183" s="7">
        <v>8.1</v>
      </c>
      <c r="F183" s="2"/>
      <c r="G183" s="2">
        <f>3.3-0.26</f>
        <v>3.04</v>
      </c>
      <c r="H183" s="2">
        <v>1</v>
      </c>
      <c r="I183" s="31">
        <f t="shared" si="66"/>
        <v>24.623999999999999</v>
      </c>
      <c r="J183" s="31">
        <f t="shared" si="67"/>
        <v>123.11999999999999</v>
      </c>
      <c r="K183" s="5"/>
    </row>
    <row r="184" spans="1:11" outlineLevel="1">
      <c r="A184" s="2"/>
      <c r="B184" s="6" t="s">
        <v>151</v>
      </c>
      <c r="C184" s="2"/>
      <c r="D184" s="2">
        <v>5</v>
      </c>
      <c r="E184" s="7">
        <v>3.15</v>
      </c>
      <c r="F184" s="2"/>
      <c r="G184" s="2">
        <f>3.3-0.6-0.2</f>
        <v>2.4999999999999996</v>
      </c>
      <c r="H184" s="2">
        <v>-1</v>
      </c>
      <c r="I184" s="31">
        <f t="shared" si="66"/>
        <v>-7.8749999999999982</v>
      </c>
      <c r="J184" s="31">
        <f t="shared" si="67"/>
        <v>-39.374999999999993</v>
      </c>
      <c r="K184" s="5"/>
    </row>
    <row r="185" spans="1:11" outlineLevel="1">
      <c r="A185" s="2"/>
      <c r="B185" s="6" t="s">
        <v>106</v>
      </c>
      <c r="C185" s="2"/>
      <c r="D185" s="2">
        <v>5</v>
      </c>
      <c r="E185" s="7">
        <v>1.93</v>
      </c>
      <c r="F185" s="2"/>
      <c r="G185" s="2">
        <v>2.4</v>
      </c>
      <c r="H185" s="2">
        <v>-1</v>
      </c>
      <c r="I185" s="31">
        <f t="shared" si="66"/>
        <v>-4.6319999999999997</v>
      </c>
      <c r="J185" s="31">
        <f t="shared" si="67"/>
        <v>-23.159999999999997</v>
      </c>
      <c r="K185" s="5"/>
    </row>
    <row r="186" spans="1:11" outlineLevel="1">
      <c r="A186" s="2"/>
      <c r="B186" s="2" t="s">
        <v>161</v>
      </c>
      <c r="C186" s="2"/>
      <c r="D186" s="2">
        <v>5</v>
      </c>
      <c r="E186" s="7">
        <v>6.5</v>
      </c>
      <c r="F186" s="2"/>
      <c r="G186" s="2">
        <f>3.3-0.26</f>
        <v>3.04</v>
      </c>
      <c r="H186" s="2">
        <v>1</v>
      </c>
      <c r="I186" s="31">
        <f t="shared" ref="I186:I204" si="68">PRODUCT(E186:H186)</f>
        <v>19.760000000000002</v>
      </c>
      <c r="J186" s="31">
        <f t="shared" ref="J186:J204" si="69">I186*D186</f>
        <v>98.800000000000011</v>
      </c>
      <c r="K186" s="5"/>
    </row>
    <row r="187" spans="1:11" outlineLevel="1">
      <c r="A187" s="2"/>
      <c r="B187" s="6" t="s">
        <v>151</v>
      </c>
      <c r="C187" s="2"/>
      <c r="D187" s="2">
        <v>5</v>
      </c>
      <c r="E187" s="7">
        <v>2.14</v>
      </c>
      <c r="F187" s="2"/>
      <c r="G187" s="2">
        <f>3.3-0.6-0.2</f>
        <v>2.4999999999999996</v>
      </c>
      <c r="H187" s="2">
        <v>-1</v>
      </c>
      <c r="I187" s="31">
        <f t="shared" si="68"/>
        <v>-5.35</v>
      </c>
      <c r="J187" s="31">
        <f t="shared" si="69"/>
        <v>-26.75</v>
      </c>
      <c r="K187" s="5"/>
    </row>
    <row r="188" spans="1:11" outlineLevel="1">
      <c r="A188" s="2"/>
      <c r="B188" s="6" t="s">
        <v>106</v>
      </c>
      <c r="C188" s="2"/>
      <c r="D188" s="2">
        <v>5</v>
      </c>
      <c r="E188" s="7">
        <v>0.87</v>
      </c>
      <c r="F188" s="2"/>
      <c r="G188" s="2">
        <v>2.2000000000000002</v>
      </c>
      <c r="H188" s="2">
        <v>-1</v>
      </c>
      <c r="I188" s="31">
        <f t="shared" si="68"/>
        <v>-1.9140000000000001</v>
      </c>
      <c r="J188" s="31">
        <f t="shared" si="69"/>
        <v>-9.57</v>
      </c>
      <c r="K188" s="5"/>
    </row>
    <row r="189" spans="1:11" outlineLevel="1">
      <c r="A189" s="2"/>
      <c r="B189" s="2"/>
      <c r="C189" s="2"/>
      <c r="D189" s="2">
        <v>5</v>
      </c>
      <c r="E189" s="7">
        <v>8.1</v>
      </c>
      <c r="F189" s="2"/>
      <c r="G189" s="2">
        <f>3.3-0.26</f>
        <v>3.04</v>
      </c>
      <c r="H189" s="2">
        <v>1</v>
      </c>
      <c r="I189" s="31">
        <f t="shared" si="68"/>
        <v>24.623999999999999</v>
      </c>
      <c r="J189" s="31">
        <f t="shared" si="69"/>
        <v>123.11999999999999</v>
      </c>
      <c r="K189" s="5"/>
    </row>
    <row r="190" spans="1:11" outlineLevel="1">
      <c r="A190" s="2"/>
      <c r="B190" s="6" t="s">
        <v>151</v>
      </c>
      <c r="C190" s="2"/>
      <c r="D190" s="2">
        <v>5</v>
      </c>
      <c r="E190" s="7">
        <v>3.15</v>
      </c>
      <c r="F190" s="2"/>
      <c r="G190" s="2">
        <f>3.3-0.6-0.2</f>
        <v>2.4999999999999996</v>
      </c>
      <c r="H190" s="2">
        <v>-1</v>
      </c>
      <c r="I190" s="31">
        <f t="shared" si="68"/>
        <v>-7.8749999999999982</v>
      </c>
      <c r="J190" s="31">
        <f t="shared" si="69"/>
        <v>-39.374999999999993</v>
      </c>
      <c r="K190" s="5"/>
    </row>
    <row r="191" spans="1:11" outlineLevel="1">
      <c r="A191" s="2"/>
      <c r="B191" s="6" t="s">
        <v>106</v>
      </c>
      <c r="C191" s="2"/>
      <c r="D191" s="2">
        <v>5</v>
      </c>
      <c r="E191" s="7">
        <v>1.93</v>
      </c>
      <c r="F191" s="2"/>
      <c r="G191" s="2">
        <v>2.4</v>
      </c>
      <c r="H191" s="2">
        <v>-1</v>
      </c>
      <c r="I191" s="31">
        <f t="shared" si="68"/>
        <v>-4.6319999999999997</v>
      </c>
      <c r="J191" s="31">
        <f t="shared" si="69"/>
        <v>-23.159999999999997</v>
      </c>
      <c r="K191" s="5"/>
    </row>
    <row r="192" spans="1:11" outlineLevel="1">
      <c r="A192" s="2"/>
      <c r="B192" s="2" t="s">
        <v>162</v>
      </c>
      <c r="C192" s="2"/>
      <c r="D192" s="2">
        <v>19</v>
      </c>
      <c r="E192" s="7">
        <v>6.3</v>
      </c>
      <c r="F192" s="2"/>
      <c r="G192" s="2">
        <f>3.3-0.26</f>
        <v>3.04</v>
      </c>
      <c r="H192" s="2">
        <v>1</v>
      </c>
      <c r="I192" s="31">
        <f t="shared" si="68"/>
        <v>19.152000000000001</v>
      </c>
      <c r="J192" s="31">
        <f t="shared" si="69"/>
        <v>363.88800000000003</v>
      </c>
      <c r="K192" s="5"/>
    </row>
    <row r="193" spans="1:11" outlineLevel="1">
      <c r="A193" s="2"/>
      <c r="B193" s="6" t="s">
        <v>151</v>
      </c>
      <c r="C193" s="2"/>
      <c r="D193" s="2">
        <v>19</v>
      </c>
      <c r="E193" s="7">
        <v>2.0499999999999998</v>
      </c>
      <c r="F193" s="2"/>
      <c r="G193" s="2">
        <f>3.3-0.6-0.2</f>
        <v>2.4999999999999996</v>
      </c>
      <c r="H193" s="2">
        <v>-1</v>
      </c>
      <c r="I193" s="31">
        <f t="shared" si="68"/>
        <v>-5.1249999999999982</v>
      </c>
      <c r="J193" s="31">
        <f t="shared" si="69"/>
        <v>-97.374999999999972</v>
      </c>
      <c r="K193" s="5"/>
    </row>
    <row r="194" spans="1:11" outlineLevel="1">
      <c r="A194" s="2"/>
      <c r="B194" s="6" t="s">
        <v>106</v>
      </c>
      <c r="C194" s="2"/>
      <c r="D194" s="2">
        <v>19</v>
      </c>
      <c r="E194" s="7">
        <v>0.87</v>
      </c>
      <c r="F194" s="2"/>
      <c r="G194" s="2">
        <v>2.2000000000000002</v>
      </c>
      <c r="H194" s="2">
        <v>-1</v>
      </c>
      <c r="I194" s="31">
        <f t="shared" si="68"/>
        <v>-1.9140000000000001</v>
      </c>
      <c r="J194" s="31">
        <f t="shared" si="69"/>
        <v>-36.366</v>
      </c>
      <c r="K194" s="5"/>
    </row>
    <row r="195" spans="1:11" outlineLevel="1">
      <c r="A195" s="2"/>
      <c r="B195" s="2"/>
      <c r="C195" s="2"/>
      <c r="D195" s="2">
        <v>19</v>
      </c>
      <c r="E195" s="7">
        <v>7.5</v>
      </c>
      <c r="F195" s="2"/>
      <c r="G195" s="2">
        <f>3.3-0.26</f>
        <v>3.04</v>
      </c>
      <c r="H195" s="2">
        <v>1</v>
      </c>
      <c r="I195" s="31">
        <f t="shared" si="68"/>
        <v>22.8</v>
      </c>
      <c r="J195" s="31">
        <f t="shared" si="69"/>
        <v>433.2</v>
      </c>
      <c r="K195" s="5"/>
    </row>
    <row r="196" spans="1:11" outlineLevel="1">
      <c r="A196" s="2"/>
      <c r="B196" s="6" t="s">
        <v>151</v>
      </c>
      <c r="C196" s="2"/>
      <c r="D196" s="2">
        <v>19</v>
      </c>
      <c r="E196" s="7">
        <v>3.75</v>
      </c>
      <c r="F196" s="2"/>
      <c r="G196" s="2">
        <f>3.3-0.2</f>
        <v>3.0999999999999996</v>
      </c>
      <c r="H196" s="2">
        <v>-1</v>
      </c>
      <c r="I196" s="31">
        <f t="shared" si="68"/>
        <v>-11.624999999999998</v>
      </c>
      <c r="J196" s="31">
        <f t="shared" si="69"/>
        <v>-220.87499999999997</v>
      </c>
      <c r="K196" s="5"/>
    </row>
    <row r="197" spans="1:11" outlineLevel="1">
      <c r="A197" s="2"/>
      <c r="B197" s="6" t="s">
        <v>106</v>
      </c>
      <c r="C197" s="2"/>
      <c r="D197" s="2">
        <v>19</v>
      </c>
      <c r="E197" s="7">
        <v>1.93</v>
      </c>
      <c r="F197" s="2"/>
      <c r="G197" s="2">
        <v>2.4</v>
      </c>
      <c r="H197" s="2">
        <v>-1</v>
      </c>
      <c r="I197" s="31">
        <f t="shared" si="68"/>
        <v>-4.6319999999999997</v>
      </c>
      <c r="J197" s="31">
        <f t="shared" si="69"/>
        <v>-88.007999999999996</v>
      </c>
      <c r="K197" s="5"/>
    </row>
    <row r="198" spans="1:11" outlineLevel="1">
      <c r="A198" s="2"/>
      <c r="B198" s="2" t="s">
        <v>163</v>
      </c>
      <c r="C198" s="2"/>
      <c r="D198" s="2">
        <v>19</v>
      </c>
      <c r="E198" s="7">
        <v>7.3</v>
      </c>
      <c r="F198" s="2"/>
      <c r="G198" s="2">
        <f>3.3-0.26</f>
        <v>3.04</v>
      </c>
      <c r="H198" s="2">
        <v>1</v>
      </c>
      <c r="I198" s="31">
        <f t="shared" si="68"/>
        <v>22.192</v>
      </c>
      <c r="J198" s="31">
        <f t="shared" si="69"/>
        <v>421.64800000000002</v>
      </c>
      <c r="K198" s="5"/>
    </row>
    <row r="199" spans="1:11" outlineLevel="1">
      <c r="A199" s="2"/>
      <c r="B199" s="6" t="s">
        <v>151</v>
      </c>
      <c r="C199" s="2"/>
      <c r="D199" s="2">
        <v>19</v>
      </c>
      <c r="E199" s="7">
        <v>2.8050000000000002</v>
      </c>
      <c r="F199" s="2"/>
      <c r="G199" s="2">
        <f>3.3-0.6-0.2</f>
        <v>2.4999999999999996</v>
      </c>
      <c r="H199" s="2">
        <v>-1</v>
      </c>
      <c r="I199" s="31">
        <f t="shared" si="68"/>
        <v>-7.0124999999999993</v>
      </c>
      <c r="J199" s="31">
        <f t="shared" si="69"/>
        <v>-133.23749999999998</v>
      </c>
      <c r="K199" s="5"/>
    </row>
    <row r="200" spans="1:11" outlineLevel="1">
      <c r="A200" s="2"/>
      <c r="B200" s="6" t="s">
        <v>106</v>
      </c>
      <c r="C200" s="2"/>
      <c r="D200" s="2">
        <v>19</v>
      </c>
      <c r="E200" s="7">
        <v>1.93</v>
      </c>
      <c r="F200" s="2"/>
      <c r="G200" s="2">
        <v>2.4</v>
      </c>
      <c r="H200" s="2">
        <v>-1</v>
      </c>
      <c r="I200" s="31">
        <f t="shared" si="68"/>
        <v>-4.6319999999999997</v>
      </c>
      <c r="J200" s="31">
        <f t="shared" si="69"/>
        <v>-88.007999999999996</v>
      </c>
      <c r="K200" s="5"/>
    </row>
    <row r="201" spans="1:11" outlineLevel="1">
      <c r="A201" s="2"/>
      <c r="B201" s="2"/>
      <c r="C201" s="2"/>
      <c r="D201" s="2">
        <v>19</v>
      </c>
      <c r="E201" s="7">
        <v>11.65</v>
      </c>
      <c r="F201" s="2"/>
      <c r="G201" s="2">
        <f>3.3-0.26</f>
        <v>3.04</v>
      </c>
      <c r="H201" s="2">
        <v>1</v>
      </c>
      <c r="I201" s="31">
        <f t="shared" si="68"/>
        <v>35.416000000000004</v>
      </c>
      <c r="J201" s="31">
        <f t="shared" si="69"/>
        <v>672.90400000000011</v>
      </c>
      <c r="K201" s="5"/>
    </row>
    <row r="202" spans="1:11" outlineLevel="1">
      <c r="A202" s="2"/>
      <c r="B202" s="6" t="s">
        <v>151</v>
      </c>
      <c r="C202" s="2"/>
      <c r="D202" s="2">
        <v>19</v>
      </c>
      <c r="E202" s="7">
        <v>1.0249999999999999</v>
      </c>
      <c r="F202" s="2"/>
      <c r="G202" s="2">
        <f>3.3-0.6-0.2</f>
        <v>2.4999999999999996</v>
      </c>
      <c r="H202" s="2">
        <v>-1</v>
      </c>
      <c r="I202" s="31">
        <f t="shared" si="68"/>
        <v>-2.5624999999999991</v>
      </c>
      <c r="J202" s="31">
        <f t="shared" si="69"/>
        <v>-48.687499999999986</v>
      </c>
      <c r="K202" s="5"/>
    </row>
    <row r="203" spans="1:11" outlineLevel="1">
      <c r="A203" s="2"/>
      <c r="B203" s="6" t="s">
        <v>106</v>
      </c>
      <c r="C203" s="2"/>
      <c r="D203" s="2">
        <v>19</v>
      </c>
      <c r="E203" s="7">
        <v>0.87</v>
      </c>
      <c r="F203" s="2"/>
      <c r="G203" s="2">
        <v>2.2000000000000002</v>
      </c>
      <c r="H203" s="2">
        <v>-1</v>
      </c>
      <c r="I203" s="31">
        <f t="shared" si="68"/>
        <v>-1.9140000000000001</v>
      </c>
      <c r="J203" s="31">
        <f t="shared" si="69"/>
        <v>-36.366</v>
      </c>
      <c r="K203" s="5"/>
    </row>
    <row r="204" spans="1:11" outlineLevel="1">
      <c r="A204" s="2"/>
      <c r="B204" s="6" t="s">
        <v>106</v>
      </c>
      <c r="C204" s="2"/>
      <c r="D204" s="2">
        <v>19</v>
      </c>
      <c r="E204" s="7">
        <v>0.9</v>
      </c>
      <c r="F204" s="2"/>
      <c r="G204" s="2">
        <v>1</v>
      </c>
      <c r="H204" s="2">
        <v>-1</v>
      </c>
      <c r="I204" s="31">
        <f t="shared" si="68"/>
        <v>-0.9</v>
      </c>
      <c r="J204" s="31">
        <f t="shared" si="69"/>
        <v>-17.100000000000001</v>
      </c>
      <c r="K204" s="5"/>
    </row>
    <row r="205" spans="1:11" outlineLevel="1">
      <c r="A205" s="2"/>
      <c r="B205" s="2" t="s">
        <v>164</v>
      </c>
      <c r="C205" s="2"/>
      <c r="D205" s="2">
        <v>19</v>
      </c>
      <c r="E205" s="7">
        <v>7.6</v>
      </c>
      <c r="F205" s="2"/>
      <c r="G205" s="2">
        <f>3.3-0.26</f>
        <v>3.04</v>
      </c>
      <c r="H205" s="2">
        <v>1</v>
      </c>
      <c r="I205" s="31">
        <f t="shared" ref="I205:I218" si="70">PRODUCT(E205:H205)</f>
        <v>23.103999999999999</v>
      </c>
      <c r="J205" s="31">
        <f t="shared" ref="J205:J218" si="71">I205*D205</f>
        <v>438.976</v>
      </c>
      <c r="K205" s="5"/>
    </row>
    <row r="206" spans="1:11" outlineLevel="1">
      <c r="A206" s="2"/>
      <c r="B206" s="6" t="s">
        <v>151</v>
      </c>
      <c r="C206" s="2"/>
      <c r="D206" s="2">
        <v>19</v>
      </c>
      <c r="E206" s="7">
        <v>3</v>
      </c>
      <c r="F206" s="2"/>
      <c r="G206" s="2">
        <f>3.3-0.6-0.2</f>
        <v>2.4999999999999996</v>
      </c>
      <c r="H206" s="2">
        <v>-1</v>
      </c>
      <c r="I206" s="31">
        <f t="shared" si="70"/>
        <v>-7.4999999999999982</v>
      </c>
      <c r="J206" s="31">
        <f t="shared" si="71"/>
        <v>-142.49999999999997</v>
      </c>
      <c r="K206" s="5"/>
    </row>
    <row r="207" spans="1:11" outlineLevel="1">
      <c r="A207" s="2"/>
      <c r="B207" s="6" t="s">
        <v>106</v>
      </c>
      <c r="C207" s="2"/>
      <c r="D207" s="2">
        <v>19</v>
      </c>
      <c r="E207" s="7">
        <v>1.93</v>
      </c>
      <c r="F207" s="2"/>
      <c r="G207" s="2">
        <v>2.4</v>
      </c>
      <c r="H207" s="2">
        <v>-1</v>
      </c>
      <c r="I207" s="31">
        <f t="shared" si="70"/>
        <v>-4.6319999999999997</v>
      </c>
      <c r="J207" s="31">
        <f t="shared" si="71"/>
        <v>-88.007999999999996</v>
      </c>
      <c r="K207" s="5"/>
    </row>
    <row r="208" spans="1:11" outlineLevel="1">
      <c r="A208" s="2"/>
      <c r="B208" s="2"/>
      <c r="C208" s="2"/>
      <c r="D208" s="2">
        <v>19</v>
      </c>
      <c r="E208" s="7">
        <v>12.28</v>
      </c>
      <c r="F208" s="2"/>
      <c r="G208" s="2">
        <f>3.3-0.26</f>
        <v>3.04</v>
      </c>
      <c r="H208" s="2">
        <v>1</v>
      </c>
      <c r="I208" s="31">
        <f t="shared" si="70"/>
        <v>37.331199999999995</v>
      </c>
      <c r="J208" s="31">
        <f t="shared" si="71"/>
        <v>709.29279999999994</v>
      </c>
      <c r="K208" s="5"/>
    </row>
    <row r="209" spans="1:11" outlineLevel="1">
      <c r="A209" s="2"/>
      <c r="B209" s="6" t="s">
        <v>151</v>
      </c>
      <c r="C209" s="2"/>
      <c r="D209" s="2">
        <v>19</v>
      </c>
      <c r="E209" s="7">
        <v>1.0249999999999999</v>
      </c>
      <c r="F209" s="2"/>
      <c r="G209" s="2">
        <f>3.3-0.6-0.2</f>
        <v>2.4999999999999996</v>
      </c>
      <c r="H209" s="2">
        <v>-1</v>
      </c>
      <c r="I209" s="31">
        <f t="shared" si="70"/>
        <v>-2.5624999999999991</v>
      </c>
      <c r="J209" s="31">
        <f t="shared" si="71"/>
        <v>-48.687499999999986</v>
      </c>
      <c r="K209" s="5"/>
    </row>
    <row r="210" spans="1:11" outlineLevel="1">
      <c r="A210" s="2"/>
      <c r="B210" s="6" t="s">
        <v>106</v>
      </c>
      <c r="C210" s="2"/>
      <c r="D210" s="2">
        <v>19</v>
      </c>
      <c r="E210" s="7">
        <v>0.75</v>
      </c>
      <c r="F210" s="2"/>
      <c r="G210" s="2">
        <v>2.2000000000000002</v>
      </c>
      <c r="H210" s="2">
        <v>-1</v>
      </c>
      <c r="I210" s="31">
        <f t="shared" si="70"/>
        <v>-1.6500000000000001</v>
      </c>
      <c r="J210" s="31">
        <f t="shared" si="71"/>
        <v>-31.35</v>
      </c>
      <c r="K210" s="5"/>
    </row>
    <row r="211" spans="1:11" outlineLevel="1">
      <c r="A211" s="2"/>
      <c r="B211" s="6" t="s">
        <v>106</v>
      </c>
      <c r="C211" s="2"/>
      <c r="D211" s="2">
        <v>19</v>
      </c>
      <c r="E211" s="7">
        <v>1.6</v>
      </c>
      <c r="F211" s="2"/>
      <c r="G211" s="2">
        <v>1</v>
      </c>
      <c r="H211" s="2">
        <v>-1</v>
      </c>
      <c r="I211" s="31">
        <f t="shared" si="70"/>
        <v>-1.6</v>
      </c>
      <c r="J211" s="31">
        <f t="shared" si="71"/>
        <v>-30.400000000000002</v>
      </c>
      <c r="K211" s="5"/>
    </row>
    <row r="212" spans="1:11" outlineLevel="1">
      <c r="A212" s="2"/>
      <c r="B212" s="2" t="s">
        <v>165</v>
      </c>
      <c r="C212" s="2"/>
      <c r="D212" s="2">
        <v>19</v>
      </c>
      <c r="E212" s="7">
        <v>7.3</v>
      </c>
      <c r="F212" s="2"/>
      <c r="G212" s="2">
        <f>3.3-0.26</f>
        <v>3.04</v>
      </c>
      <c r="H212" s="2">
        <v>1</v>
      </c>
      <c r="I212" s="31">
        <f t="shared" si="70"/>
        <v>22.192</v>
      </c>
      <c r="J212" s="31">
        <f t="shared" si="71"/>
        <v>421.64800000000002</v>
      </c>
      <c r="K212" s="5"/>
    </row>
    <row r="213" spans="1:11" outlineLevel="1">
      <c r="A213" s="2"/>
      <c r="B213" s="6" t="s">
        <v>151</v>
      </c>
      <c r="C213" s="2"/>
      <c r="D213" s="2">
        <v>19</v>
      </c>
      <c r="E213" s="7">
        <v>2.8050000000000002</v>
      </c>
      <c r="F213" s="2"/>
      <c r="G213" s="2">
        <f>3.3-0.6-0.2</f>
        <v>2.4999999999999996</v>
      </c>
      <c r="H213" s="2">
        <v>-1</v>
      </c>
      <c r="I213" s="31">
        <f t="shared" si="70"/>
        <v>-7.0124999999999993</v>
      </c>
      <c r="J213" s="31">
        <f t="shared" si="71"/>
        <v>-133.23749999999998</v>
      </c>
      <c r="K213" s="5"/>
    </row>
    <row r="214" spans="1:11" outlineLevel="1">
      <c r="A214" s="2"/>
      <c r="B214" s="6" t="s">
        <v>106</v>
      </c>
      <c r="C214" s="2"/>
      <c r="D214" s="2">
        <v>19</v>
      </c>
      <c r="E214" s="7">
        <v>1.93</v>
      </c>
      <c r="F214" s="2"/>
      <c r="G214" s="2">
        <v>2.4</v>
      </c>
      <c r="H214" s="2">
        <v>-1</v>
      </c>
      <c r="I214" s="31">
        <f t="shared" si="70"/>
        <v>-4.6319999999999997</v>
      </c>
      <c r="J214" s="31">
        <f t="shared" si="71"/>
        <v>-88.007999999999996</v>
      </c>
      <c r="K214" s="5"/>
    </row>
    <row r="215" spans="1:11" outlineLevel="1">
      <c r="A215" s="2"/>
      <c r="B215" s="2"/>
      <c r="C215" s="2"/>
      <c r="D215" s="2">
        <v>19</v>
      </c>
      <c r="E215" s="7">
        <v>11.65</v>
      </c>
      <c r="F215" s="2"/>
      <c r="G215" s="2">
        <f>3.3-0.26</f>
        <v>3.04</v>
      </c>
      <c r="H215" s="2">
        <v>1</v>
      </c>
      <c r="I215" s="31">
        <f t="shared" si="70"/>
        <v>35.416000000000004</v>
      </c>
      <c r="J215" s="31">
        <f t="shared" si="71"/>
        <v>672.90400000000011</v>
      </c>
      <c r="K215" s="5"/>
    </row>
    <row r="216" spans="1:11" outlineLevel="1">
      <c r="A216" s="2"/>
      <c r="B216" s="6" t="s">
        <v>151</v>
      </c>
      <c r="C216" s="2"/>
      <c r="D216" s="2">
        <v>19</v>
      </c>
      <c r="E216" s="7">
        <v>1.0249999999999999</v>
      </c>
      <c r="F216" s="2"/>
      <c r="G216" s="2">
        <f>3.3-0.6-0.2</f>
        <v>2.4999999999999996</v>
      </c>
      <c r="H216" s="2">
        <v>-1</v>
      </c>
      <c r="I216" s="31">
        <f t="shared" si="70"/>
        <v>-2.5624999999999991</v>
      </c>
      <c r="J216" s="31">
        <f t="shared" si="71"/>
        <v>-48.687499999999986</v>
      </c>
      <c r="K216" s="5"/>
    </row>
    <row r="217" spans="1:11" outlineLevel="1">
      <c r="A217" s="2"/>
      <c r="B217" s="6" t="s">
        <v>106</v>
      </c>
      <c r="C217" s="2"/>
      <c r="D217" s="2">
        <v>19</v>
      </c>
      <c r="E217" s="7">
        <v>0.87</v>
      </c>
      <c r="F217" s="2"/>
      <c r="G217" s="2">
        <v>2.2000000000000002</v>
      </c>
      <c r="H217" s="2">
        <v>-1</v>
      </c>
      <c r="I217" s="31">
        <f t="shared" si="70"/>
        <v>-1.9140000000000001</v>
      </c>
      <c r="J217" s="31">
        <f t="shared" si="71"/>
        <v>-36.366</v>
      </c>
      <c r="K217" s="5"/>
    </row>
    <row r="218" spans="1:11" outlineLevel="1">
      <c r="A218" s="2"/>
      <c r="B218" s="6" t="s">
        <v>106</v>
      </c>
      <c r="C218" s="2"/>
      <c r="D218" s="2">
        <v>19</v>
      </c>
      <c r="E218" s="7">
        <v>0.9</v>
      </c>
      <c r="F218" s="2"/>
      <c r="G218" s="2">
        <v>1</v>
      </c>
      <c r="H218" s="2">
        <v>-1</v>
      </c>
      <c r="I218" s="31">
        <f t="shared" si="70"/>
        <v>-0.9</v>
      </c>
      <c r="J218" s="31">
        <f t="shared" si="71"/>
        <v>-17.100000000000001</v>
      </c>
      <c r="K218" s="5"/>
    </row>
    <row r="219" spans="1:11" outlineLevel="1">
      <c r="A219" s="2"/>
      <c r="B219" s="2" t="s">
        <v>166</v>
      </c>
      <c r="C219" s="2"/>
      <c r="D219" s="2">
        <v>19</v>
      </c>
      <c r="E219" s="7">
        <v>7.3</v>
      </c>
      <c r="F219" s="2"/>
      <c r="G219" s="2">
        <f>3.3-0.26</f>
        <v>3.04</v>
      </c>
      <c r="H219" s="2">
        <v>1</v>
      </c>
      <c r="I219" s="31">
        <f t="shared" ref="I219:I225" si="72">PRODUCT(E219:H219)</f>
        <v>22.192</v>
      </c>
      <c r="J219" s="31">
        <f t="shared" ref="J219:J225" si="73">I219*D219</f>
        <v>421.64800000000002</v>
      </c>
      <c r="K219" s="5"/>
    </row>
    <row r="220" spans="1:11" outlineLevel="1">
      <c r="A220" s="2"/>
      <c r="B220" s="6" t="s">
        <v>151</v>
      </c>
      <c r="C220" s="2"/>
      <c r="D220" s="2">
        <v>19</v>
      </c>
      <c r="E220" s="7">
        <v>2.8050000000000002</v>
      </c>
      <c r="F220" s="2"/>
      <c r="G220" s="2">
        <f>3.3-0.6-0.2</f>
        <v>2.4999999999999996</v>
      </c>
      <c r="H220" s="2">
        <v>-1</v>
      </c>
      <c r="I220" s="31">
        <f t="shared" si="72"/>
        <v>-7.0124999999999993</v>
      </c>
      <c r="J220" s="31">
        <f t="shared" si="73"/>
        <v>-133.23749999999998</v>
      </c>
      <c r="K220" s="5"/>
    </row>
    <row r="221" spans="1:11" outlineLevel="1">
      <c r="A221" s="2"/>
      <c r="B221" s="6" t="s">
        <v>106</v>
      </c>
      <c r="C221" s="2"/>
      <c r="D221" s="2">
        <v>19</v>
      </c>
      <c r="E221" s="7">
        <v>1.93</v>
      </c>
      <c r="F221" s="2"/>
      <c r="G221" s="2">
        <v>2.4</v>
      </c>
      <c r="H221" s="2">
        <v>-1</v>
      </c>
      <c r="I221" s="31">
        <f t="shared" si="72"/>
        <v>-4.6319999999999997</v>
      </c>
      <c r="J221" s="31">
        <f t="shared" si="73"/>
        <v>-88.007999999999996</v>
      </c>
      <c r="K221" s="5"/>
    </row>
    <row r="222" spans="1:11" outlineLevel="1">
      <c r="A222" s="2"/>
      <c r="B222" s="2"/>
      <c r="C222" s="2"/>
      <c r="D222" s="2">
        <v>19</v>
      </c>
      <c r="E222" s="7">
        <v>11.65</v>
      </c>
      <c r="F222" s="2"/>
      <c r="G222" s="2">
        <f>3.3-0.26</f>
        <v>3.04</v>
      </c>
      <c r="H222" s="2">
        <v>1</v>
      </c>
      <c r="I222" s="31">
        <f t="shared" si="72"/>
        <v>35.416000000000004</v>
      </c>
      <c r="J222" s="31">
        <f t="shared" si="73"/>
        <v>672.90400000000011</v>
      </c>
      <c r="K222" s="5"/>
    </row>
    <row r="223" spans="1:11" outlineLevel="1">
      <c r="A223" s="2"/>
      <c r="B223" s="6" t="s">
        <v>151</v>
      </c>
      <c r="C223" s="2"/>
      <c r="D223" s="2">
        <v>19</v>
      </c>
      <c r="E223" s="7">
        <v>1.0249999999999999</v>
      </c>
      <c r="F223" s="2"/>
      <c r="G223" s="2">
        <f>3.3-0.6-0.2</f>
        <v>2.4999999999999996</v>
      </c>
      <c r="H223" s="2">
        <v>-1</v>
      </c>
      <c r="I223" s="31">
        <f t="shared" si="72"/>
        <v>-2.5624999999999991</v>
      </c>
      <c r="J223" s="31">
        <f t="shared" si="73"/>
        <v>-48.687499999999986</v>
      </c>
      <c r="K223" s="5"/>
    </row>
    <row r="224" spans="1:11" outlineLevel="1">
      <c r="A224" s="2"/>
      <c r="B224" s="6" t="s">
        <v>106</v>
      </c>
      <c r="C224" s="2"/>
      <c r="D224" s="2">
        <v>19</v>
      </c>
      <c r="E224" s="7">
        <v>0.87</v>
      </c>
      <c r="F224" s="2"/>
      <c r="G224" s="2">
        <v>2.2000000000000002</v>
      </c>
      <c r="H224" s="2">
        <v>-1</v>
      </c>
      <c r="I224" s="31">
        <f t="shared" si="72"/>
        <v>-1.9140000000000001</v>
      </c>
      <c r="J224" s="31">
        <f t="shared" si="73"/>
        <v>-36.366</v>
      </c>
      <c r="K224" s="5"/>
    </row>
    <row r="225" spans="1:11" outlineLevel="1">
      <c r="A225" s="2"/>
      <c r="B225" s="6" t="s">
        <v>106</v>
      </c>
      <c r="C225" s="2"/>
      <c r="D225" s="2">
        <v>19</v>
      </c>
      <c r="E225" s="7">
        <v>0.9</v>
      </c>
      <c r="F225" s="2"/>
      <c r="G225" s="2">
        <v>1</v>
      </c>
      <c r="H225" s="2">
        <v>-1</v>
      </c>
      <c r="I225" s="31">
        <f t="shared" si="72"/>
        <v>-0.9</v>
      </c>
      <c r="J225" s="31">
        <f t="shared" si="73"/>
        <v>-17.100000000000001</v>
      </c>
      <c r="K225" s="5"/>
    </row>
    <row r="226" spans="1:11" outlineLevel="1">
      <c r="A226" s="2"/>
      <c r="B226" s="2" t="s">
        <v>167</v>
      </c>
      <c r="C226" s="2"/>
      <c r="D226" s="2">
        <v>19</v>
      </c>
      <c r="E226" s="7">
        <v>7.3</v>
      </c>
      <c r="F226" s="2"/>
      <c r="G226" s="2">
        <f>3.3-0.26</f>
        <v>3.04</v>
      </c>
      <c r="H226" s="2">
        <v>1</v>
      </c>
      <c r="I226" s="31">
        <f t="shared" ref="I226:I232" si="74">PRODUCT(E226:H226)</f>
        <v>22.192</v>
      </c>
      <c r="J226" s="31">
        <f t="shared" ref="J226:J232" si="75">I226*D226</f>
        <v>421.64800000000002</v>
      </c>
      <c r="K226" s="5"/>
    </row>
    <row r="227" spans="1:11" outlineLevel="1">
      <c r="A227" s="2"/>
      <c r="B227" s="6" t="s">
        <v>151</v>
      </c>
      <c r="C227" s="2"/>
      <c r="D227" s="2">
        <v>19</v>
      </c>
      <c r="E227" s="7">
        <v>2.8050000000000002</v>
      </c>
      <c r="F227" s="2"/>
      <c r="G227" s="2">
        <f>3.3-0.6-0.2</f>
        <v>2.4999999999999996</v>
      </c>
      <c r="H227" s="2">
        <v>-1</v>
      </c>
      <c r="I227" s="31">
        <f t="shared" si="74"/>
        <v>-7.0124999999999993</v>
      </c>
      <c r="J227" s="31">
        <f t="shared" si="75"/>
        <v>-133.23749999999998</v>
      </c>
      <c r="K227" s="5"/>
    </row>
    <row r="228" spans="1:11" outlineLevel="1">
      <c r="A228" s="2"/>
      <c r="B228" s="6" t="s">
        <v>106</v>
      </c>
      <c r="C228" s="2"/>
      <c r="D228" s="2">
        <v>19</v>
      </c>
      <c r="E228" s="7">
        <v>1.93</v>
      </c>
      <c r="F228" s="2"/>
      <c r="G228" s="2">
        <v>2.4</v>
      </c>
      <c r="H228" s="2">
        <v>-1</v>
      </c>
      <c r="I228" s="31">
        <f t="shared" si="74"/>
        <v>-4.6319999999999997</v>
      </c>
      <c r="J228" s="31">
        <f t="shared" si="75"/>
        <v>-88.007999999999996</v>
      </c>
      <c r="K228" s="5"/>
    </row>
    <row r="229" spans="1:11" outlineLevel="1">
      <c r="A229" s="2"/>
      <c r="B229" s="2"/>
      <c r="C229" s="2"/>
      <c r="D229" s="2">
        <v>19</v>
      </c>
      <c r="E229" s="7">
        <v>11.65</v>
      </c>
      <c r="F229" s="2"/>
      <c r="G229" s="2">
        <f>3.3-0.26</f>
        <v>3.04</v>
      </c>
      <c r="H229" s="2">
        <v>1</v>
      </c>
      <c r="I229" s="31">
        <f t="shared" si="74"/>
        <v>35.416000000000004</v>
      </c>
      <c r="J229" s="31">
        <f t="shared" si="75"/>
        <v>672.90400000000011</v>
      </c>
      <c r="K229" s="5"/>
    </row>
    <row r="230" spans="1:11" outlineLevel="1">
      <c r="A230" s="2"/>
      <c r="B230" s="6" t="s">
        <v>151</v>
      </c>
      <c r="C230" s="2"/>
      <c r="D230" s="2">
        <v>19</v>
      </c>
      <c r="E230" s="7">
        <v>1.0249999999999999</v>
      </c>
      <c r="F230" s="2"/>
      <c r="G230" s="2">
        <f>3.3-0.6-0.2</f>
        <v>2.4999999999999996</v>
      </c>
      <c r="H230" s="2">
        <v>-1</v>
      </c>
      <c r="I230" s="31">
        <f t="shared" si="74"/>
        <v>-2.5624999999999991</v>
      </c>
      <c r="J230" s="31">
        <f t="shared" si="75"/>
        <v>-48.687499999999986</v>
      </c>
      <c r="K230" s="5"/>
    </row>
    <row r="231" spans="1:11" outlineLevel="1">
      <c r="A231" s="2"/>
      <c r="B231" s="6" t="s">
        <v>106</v>
      </c>
      <c r="C231" s="2"/>
      <c r="D231" s="2">
        <v>19</v>
      </c>
      <c r="E231" s="7">
        <v>0.87</v>
      </c>
      <c r="F231" s="2"/>
      <c r="G231" s="2">
        <v>2.2000000000000002</v>
      </c>
      <c r="H231" s="2">
        <v>-1</v>
      </c>
      <c r="I231" s="31">
        <f t="shared" si="74"/>
        <v>-1.9140000000000001</v>
      </c>
      <c r="J231" s="31">
        <f t="shared" si="75"/>
        <v>-36.366</v>
      </c>
      <c r="K231" s="5"/>
    </row>
    <row r="232" spans="1:11" outlineLevel="1">
      <c r="A232" s="2"/>
      <c r="B232" s="6" t="s">
        <v>106</v>
      </c>
      <c r="C232" s="2"/>
      <c r="D232" s="2">
        <v>19</v>
      </c>
      <c r="E232" s="7">
        <v>0.9</v>
      </c>
      <c r="F232" s="2"/>
      <c r="G232" s="2">
        <v>1</v>
      </c>
      <c r="H232" s="2">
        <v>-1</v>
      </c>
      <c r="I232" s="31">
        <f t="shared" si="74"/>
        <v>-0.9</v>
      </c>
      <c r="J232" s="31">
        <f t="shared" si="75"/>
        <v>-17.100000000000001</v>
      </c>
      <c r="K232" s="5"/>
    </row>
    <row r="233" spans="1:11" outlineLevel="1">
      <c r="A233" s="2"/>
      <c r="B233" s="2" t="s">
        <v>168</v>
      </c>
      <c r="C233" s="2"/>
      <c r="D233" s="2">
        <v>19</v>
      </c>
      <c r="E233" s="7">
        <v>13.9</v>
      </c>
      <c r="F233" s="2"/>
      <c r="G233" s="2">
        <f>3.3-0.26</f>
        <v>3.04</v>
      </c>
      <c r="H233" s="2">
        <v>1</v>
      </c>
      <c r="I233" s="31">
        <f t="shared" ref="I233:I248" si="76">PRODUCT(E233:H233)</f>
        <v>42.256</v>
      </c>
      <c r="J233" s="31">
        <f t="shared" ref="J233:J248" si="77">I233*D233</f>
        <v>802.86400000000003</v>
      </c>
      <c r="K233" s="5"/>
    </row>
    <row r="234" spans="1:11" outlineLevel="1">
      <c r="A234" s="2"/>
      <c r="B234" s="6" t="s">
        <v>151</v>
      </c>
      <c r="C234" s="2"/>
      <c r="D234" s="2">
        <v>19</v>
      </c>
      <c r="E234" s="7">
        <v>5.9749999999999996</v>
      </c>
      <c r="F234" s="2"/>
      <c r="G234" s="2">
        <f>3.3-0.6-0.2</f>
        <v>2.4999999999999996</v>
      </c>
      <c r="H234" s="2">
        <v>-1</v>
      </c>
      <c r="I234" s="31">
        <f t="shared" si="76"/>
        <v>-14.937499999999996</v>
      </c>
      <c r="J234" s="31">
        <f t="shared" si="77"/>
        <v>-283.81249999999994</v>
      </c>
      <c r="K234" s="5"/>
    </row>
    <row r="235" spans="1:11" outlineLevel="1">
      <c r="A235" s="2"/>
      <c r="B235" s="6" t="s">
        <v>106</v>
      </c>
      <c r="C235" s="2"/>
      <c r="D235" s="2">
        <v>19</v>
      </c>
      <c r="E235" s="7">
        <v>1.93</v>
      </c>
      <c r="F235" s="2"/>
      <c r="G235" s="2">
        <v>2.4</v>
      </c>
      <c r="H235" s="2">
        <v>-2</v>
      </c>
      <c r="I235" s="31">
        <f t="shared" si="76"/>
        <v>-9.2639999999999993</v>
      </c>
      <c r="J235" s="31">
        <f t="shared" si="77"/>
        <v>-176.01599999999999</v>
      </c>
      <c r="K235" s="5"/>
    </row>
    <row r="236" spans="1:11" outlineLevel="1">
      <c r="A236" s="2"/>
      <c r="B236" s="2" t="s">
        <v>169</v>
      </c>
      <c r="C236" s="2"/>
      <c r="D236" s="2">
        <v>19</v>
      </c>
      <c r="E236" s="7">
        <v>7.3</v>
      </c>
      <c r="F236" s="2"/>
      <c r="G236" s="2">
        <f>3.3-0.26</f>
        <v>3.04</v>
      </c>
      <c r="H236" s="2">
        <v>1</v>
      </c>
      <c r="I236" s="31">
        <f t="shared" si="76"/>
        <v>22.192</v>
      </c>
      <c r="J236" s="31">
        <f t="shared" si="77"/>
        <v>421.64800000000002</v>
      </c>
      <c r="K236" s="5"/>
    </row>
    <row r="237" spans="1:11" outlineLevel="1">
      <c r="A237" s="2"/>
      <c r="B237" s="6" t="s">
        <v>151</v>
      </c>
      <c r="C237" s="2"/>
      <c r="D237" s="2">
        <v>19</v>
      </c>
      <c r="E237" s="7">
        <v>2.8050000000000002</v>
      </c>
      <c r="F237" s="2"/>
      <c r="G237" s="2">
        <f>3.3-0.6-0.2</f>
        <v>2.4999999999999996</v>
      </c>
      <c r="H237" s="2">
        <v>-1</v>
      </c>
      <c r="I237" s="31">
        <f t="shared" si="76"/>
        <v>-7.0124999999999993</v>
      </c>
      <c r="J237" s="31">
        <f t="shared" si="77"/>
        <v>-133.23749999999998</v>
      </c>
      <c r="K237" s="5"/>
    </row>
    <row r="238" spans="1:11" outlineLevel="1">
      <c r="A238" s="2"/>
      <c r="B238" s="6" t="s">
        <v>106</v>
      </c>
      <c r="C238" s="2"/>
      <c r="D238" s="2">
        <v>19</v>
      </c>
      <c r="E238" s="7">
        <v>1.93</v>
      </c>
      <c r="F238" s="2"/>
      <c r="G238" s="2">
        <v>2.4</v>
      </c>
      <c r="H238" s="2">
        <v>-1</v>
      </c>
      <c r="I238" s="31">
        <f t="shared" si="76"/>
        <v>-4.6319999999999997</v>
      </c>
      <c r="J238" s="31">
        <f t="shared" si="77"/>
        <v>-88.007999999999996</v>
      </c>
      <c r="K238" s="5"/>
    </row>
    <row r="239" spans="1:11" outlineLevel="1">
      <c r="A239" s="2"/>
      <c r="B239" s="2"/>
      <c r="C239" s="2"/>
      <c r="D239" s="2">
        <v>19</v>
      </c>
      <c r="E239" s="7">
        <v>11.65</v>
      </c>
      <c r="F239" s="2"/>
      <c r="G239" s="2">
        <f>3.3-0.26</f>
        <v>3.04</v>
      </c>
      <c r="H239" s="2">
        <v>1</v>
      </c>
      <c r="I239" s="31">
        <f t="shared" si="76"/>
        <v>35.416000000000004</v>
      </c>
      <c r="J239" s="31">
        <f t="shared" si="77"/>
        <v>672.90400000000011</v>
      </c>
      <c r="K239" s="5"/>
    </row>
    <row r="240" spans="1:11" outlineLevel="1">
      <c r="A240" s="2"/>
      <c r="B240" s="6" t="s">
        <v>151</v>
      </c>
      <c r="C240" s="2"/>
      <c r="D240" s="2">
        <v>19</v>
      </c>
      <c r="E240" s="7">
        <v>1.0249999999999999</v>
      </c>
      <c r="F240" s="2"/>
      <c r="G240" s="2">
        <f>3.3-0.6-0.2</f>
        <v>2.4999999999999996</v>
      </c>
      <c r="H240" s="2">
        <v>-1</v>
      </c>
      <c r="I240" s="31">
        <f t="shared" si="76"/>
        <v>-2.5624999999999991</v>
      </c>
      <c r="J240" s="31">
        <f t="shared" si="77"/>
        <v>-48.687499999999986</v>
      </c>
      <c r="K240" s="5"/>
    </row>
    <row r="241" spans="1:11" outlineLevel="1">
      <c r="A241" s="2"/>
      <c r="B241" s="6" t="s">
        <v>106</v>
      </c>
      <c r="C241" s="2"/>
      <c r="D241" s="2">
        <v>19</v>
      </c>
      <c r="E241" s="7">
        <v>0.87</v>
      </c>
      <c r="F241" s="2"/>
      <c r="G241" s="2">
        <v>2.2000000000000002</v>
      </c>
      <c r="H241" s="2">
        <v>-1</v>
      </c>
      <c r="I241" s="31">
        <f t="shared" si="76"/>
        <v>-1.9140000000000001</v>
      </c>
      <c r="J241" s="31">
        <f t="shared" si="77"/>
        <v>-36.366</v>
      </c>
      <c r="K241" s="5"/>
    </row>
    <row r="242" spans="1:11" outlineLevel="1">
      <c r="A242" s="2"/>
      <c r="B242" s="6" t="s">
        <v>106</v>
      </c>
      <c r="C242" s="2"/>
      <c r="D242" s="2">
        <v>19</v>
      </c>
      <c r="E242" s="7">
        <v>0.9</v>
      </c>
      <c r="F242" s="2"/>
      <c r="G242" s="2">
        <v>1</v>
      </c>
      <c r="H242" s="2">
        <v>-1</v>
      </c>
      <c r="I242" s="31">
        <f t="shared" si="76"/>
        <v>-0.9</v>
      </c>
      <c r="J242" s="31">
        <f t="shared" si="77"/>
        <v>-17.100000000000001</v>
      </c>
      <c r="K242" s="5"/>
    </row>
    <row r="243" spans="1:11" outlineLevel="1">
      <c r="A243" s="2"/>
      <c r="B243" s="2" t="s">
        <v>153</v>
      </c>
      <c r="C243" s="2"/>
      <c r="D243" s="2">
        <v>19</v>
      </c>
      <c r="E243" s="7">
        <v>6.3</v>
      </c>
      <c r="F243" s="2"/>
      <c r="G243" s="2">
        <f>3.3-0.26</f>
        <v>3.04</v>
      </c>
      <c r="H243" s="2">
        <v>1</v>
      </c>
      <c r="I243" s="31">
        <f t="shared" si="76"/>
        <v>19.152000000000001</v>
      </c>
      <c r="J243" s="31">
        <f t="shared" si="77"/>
        <v>363.88800000000003</v>
      </c>
      <c r="K243" s="5"/>
    </row>
    <row r="244" spans="1:11" outlineLevel="1">
      <c r="A244" s="2"/>
      <c r="B244" s="6" t="s">
        <v>151</v>
      </c>
      <c r="C244" s="2"/>
      <c r="D244" s="2">
        <v>19</v>
      </c>
      <c r="E244" s="7">
        <v>2.0499999999999998</v>
      </c>
      <c r="F244" s="2"/>
      <c r="G244" s="2">
        <f>3.3-0.6-0.2</f>
        <v>2.4999999999999996</v>
      </c>
      <c r="H244" s="2">
        <v>-1</v>
      </c>
      <c r="I244" s="31">
        <f t="shared" si="76"/>
        <v>-5.1249999999999982</v>
      </c>
      <c r="J244" s="31">
        <f t="shared" si="77"/>
        <v>-97.374999999999972</v>
      </c>
      <c r="K244" s="5"/>
    </row>
    <row r="245" spans="1:11" outlineLevel="1">
      <c r="A245" s="2"/>
      <c r="B245" s="6" t="s">
        <v>106</v>
      </c>
      <c r="C245" s="2"/>
      <c r="D245" s="2">
        <v>19</v>
      </c>
      <c r="E245" s="7">
        <v>0.87</v>
      </c>
      <c r="F245" s="2"/>
      <c r="G245" s="2">
        <v>2.2000000000000002</v>
      </c>
      <c r="H245" s="2">
        <v>-1</v>
      </c>
      <c r="I245" s="31">
        <f t="shared" si="76"/>
        <v>-1.9140000000000001</v>
      </c>
      <c r="J245" s="31">
        <f t="shared" si="77"/>
        <v>-36.366</v>
      </c>
      <c r="K245" s="5"/>
    </row>
    <row r="246" spans="1:11" outlineLevel="1">
      <c r="A246" s="2"/>
      <c r="B246" s="2"/>
      <c r="C246" s="2"/>
      <c r="D246" s="2">
        <v>19</v>
      </c>
      <c r="E246" s="7">
        <v>7.5</v>
      </c>
      <c r="F246" s="2"/>
      <c r="G246" s="2">
        <f>3.3-0.26</f>
        <v>3.04</v>
      </c>
      <c r="H246" s="2">
        <v>1</v>
      </c>
      <c r="I246" s="31">
        <f t="shared" si="76"/>
        <v>22.8</v>
      </c>
      <c r="J246" s="31">
        <f t="shared" si="77"/>
        <v>433.2</v>
      </c>
      <c r="K246" s="5"/>
    </row>
    <row r="247" spans="1:11" outlineLevel="1">
      <c r="A247" s="2"/>
      <c r="B247" s="6" t="s">
        <v>151</v>
      </c>
      <c r="C247" s="2"/>
      <c r="D247" s="2">
        <v>19</v>
      </c>
      <c r="E247" s="7">
        <v>3.75</v>
      </c>
      <c r="F247" s="2"/>
      <c r="G247" s="2">
        <f>3.3-0.2</f>
        <v>3.0999999999999996</v>
      </c>
      <c r="H247" s="2">
        <v>-1</v>
      </c>
      <c r="I247" s="31">
        <f t="shared" si="76"/>
        <v>-11.624999999999998</v>
      </c>
      <c r="J247" s="31">
        <f t="shared" si="77"/>
        <v>-220.87499999999997</v>
      </c>
      <c r="K247" s="5"/>
    </row>
    <row r="248" spans="1:11" outlineLevel="1">
      <c r="A248" s="2"/>
      <c r="B248" s="6" t="s">
        <v>106</v>
      </c>
      <c r="C248" s="2"/>
      <c r="D248" s="2">
        <v>19</v>
      </c>
      <c r="E248" s="7">
        <v>1.93</v>
      </c>
      <c r="F248" s="2"/>
      <c r="G248" s="2">
        <v>2.4</v>
      </c>
      <c r="H248" s="2">
        <v>-1</v>
      </c>
      <c r="I248" s="31">
        <f t="shared" si="76"/>
        <v>-4.6319999999999997</v>
      </c>
      <c r="J248" s="31">
        <f t="shared" si="77"/>
        <v>-88.007999999999996</v>
      </c>
      <c r="K248" s="5"/>
    </row>
    <row r="249" spans="1:11" outlineLevel="1">
      <c r="A249" s="2"/>
      <c r="B249" s="2"/>
      <c r="C249" s="2"/>
      <c r="D249" s="2"/>
      <c r="E249" s="7"/>
      <c r="F249" s="2"/>
      <c r="G249" s="2"/>
      <c r="H249" s="2"/>
      <c r="I249" s="31"/>
      <c r="J249" s="31"/>
      <c r="K249" s="5"/>
    </row>
    <row r="250" spans="1:11" outlineLevel="1">
      <c r="A250" s="2"/>
      <c r="B250" s="2"/>
      <c r="C250" s="2"/>
      <c r="D250" s="2"/>
      <c r="E250" s="2"/>
      <c r="F250" s="2"/>
      <c r="G250" s="2"/>
      <c r="H250" s="2"/>
      <c r="I250" s="31"/>
      <c r="J250" s="31"/>
      <c r="K250" s="5"/>
    </row>
  </sheetData>
  <autoFilter ref="A5:K132" xr:uid="{00000000-0009-0000-0000-000007000000}"/>
  <mergeCells count="10">
    <mergeCell ref="A2:K2"/>
    <mergeCell ref="A6:A7"/>
    <mergeCell ref="B6:B7"/>
    <mergeCell ref="C6:C7"/>
    <mergeCell ref="D6:D7"/>
    <mergeCell ref="E6:G6"/>
    <mergeCell ref="H6:H7"/>
    <mergeCell ref="I6:I7"/>
    <mergeCell ref="J6:J7"/>
    <mergeCell ref="K6:K7"/>
  </mergeCells>
  <conditionalFormatting sqref="A6:K6 A7:I7 K7">
    <cfRule type="cellIs" dxfId="0" priority="1" operator="lessThan">
      <formula>0</formula>
    </cfRule>
  </conditionalFormatting>
  <pageMargins left="0.7" right="0.7" top="0.75" bottom="0.75" header="0.3" footer="0.3"/>
  <pageSetup orientation="portrait"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THKL</vt:lpstr>
      <vt:lpstr>THKL Son ba</vt:lpstr>
      <vt:lpstr>Ba Acotec</vt:lpstr>
      <vt:lpstr>Ba tuong cot trong nha</vt:lpstr>
      <vt:lpstr>Ba logia</vt:lpstr>
      <vt:lpstr>Tran logia</vt:lpstr>
      <vt:lpstr>Son tuong khong ba</vt:lpstr>
      <vt:lpstr>Son Epoxy</vt:lpstr>
      <vt:lpstr>KL Tang mái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Luong Quang Trang</dc:creator>
  <cp:lastModifiedBy>PC</cp:lastModifiedBy>
  <dcterms:created xsi:type="dcterms:W3CDTF">2024-03-01T03:04:56Z</dcterms:created>
  <dcterms:modified xsi:type="dcterms:W3CDTF">2025-06-17T04:54:38Z</dcterms:modified>
</cp:coreProperties>
</file>